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2035" windowHeight="7140" activeTab="0"/>
  </bookViews>
  <sheets>
    <sheet name="KÄYTTÖTAULU" sheetId="1" r:id="rId1"/>
    <sheet name="muut muuttujat" sheetId="2" state="hidden" r:id="rId2"/>
    <sheet name="virheet" sheetId="3" state="hidden" r:id="rId3"/>
    <sheet name="laskenta" sheetId="4" state="hidden" r:id="rId4"/>
    <sheet name="vuosityö ja aikk laskenta" sheetId="5" state="hidden" r:id="rId5"/>
    <sheet name="1.8.2022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Peruskoulussa ja lukiossa voi koskea vain virkarehtoria, kokonaistyöajassa olevaa apulaisrehtoria ja oppilaanohjauksen lehtoria (epäpätevyysalennus tai kokonaistyöajassa olevan apulaisrehtorin palkka). Muissa oppilaitoksissa epäpätevyysalennus.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Sisältää peruspalkan lisäksi tehtävän vaativuuden perusteella maksetut "tva-lisät". Vuosiviikkoylitunti- ja kertatuntipalkkioden laskentaperuste.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tehtäväkohtainen 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(OVTES Osio A 26 § 2-4 mom. muk.)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(OVTES Osio A 26 § 5-6 mom. muk.)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6-20 % (Osio A 8 § 1 mom.)</t>
        </r>
      </text>
    </comment>
    <comment ref="F38" authorId="1">
      <text>
        <r>
          <rPr>
            <b/>
            <sz val="8"/>
            <rFont val="Tahoma"/>
            <family val="2"/>
          </rPr>
          <t xml:space="preserve">Mm. henkilökohtainen lisä (Osio A 11 §), syrjäseutulisä, (Osio A 19 §), kielilisä (KVTES Luku 2  16 §), luottamusmieskorvaus (KVTES Luku VII 10 §) sekä työsuojeluvaltuutetun korvaus.
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Muut kuin kohdan 6 lisät. 
</t>
        </r>
      </text>
    </comment>
    <comment ref="L29" authorId="1">
      <text>
        <r>
          <rPr>
            <b/>
            <sz val="8"/>
            <rFont val="Tahoma"/>
            <family val="2"/>
          </rPr>
          <t>Osio C Liite 1 15§</t>
        </r>
      </text>
    </comment>
    <comment ref="L31" authorId="1">
      <text>
        <r>
          <rPr>
            <b/>
            <sz val="8"/>
            <rFont val="Tahoma"/>
            <family val="2"/>
          </rPr>
          <t>Osio C Liite 1 16§</t>
        </r>
      </text>
    </comment>
    <comment ref="M20" authorId="1">
      <text>
        <r>
          <rPr>
            <sz val="8"/>
            <rFont val="Tahoma"/>
            <family val="2"/>
          </rPr>
          <t xml:space="preserve">Koskee vain kansalais- tai kansanopiston tuntiopettajia (Liite 12 13 § 2 mom. ja Liite 13 10 § 2 mom.)
</t>
        </r>
        <r>
          <rPr>
            <sz val="8"/>
            <rFont val="Tahoma"/>
            <family val="2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Koskee vain kansalais- tai kansanopiston ja lasten taidekoulujen tuntiopettajia sekä musiikkioppilaitosten sivutoimisia tuntiopettajia.</t>
        </r>
      </text>
    </comment>
    <comment ref="M19" authorId="1">
      <text>
        <r>
          <rPr>
            <b/>
            <sz val="8"/>
            <rFont val="Tahoma"/>
            <family val="2"/>
          </rPr>
          <t>Koskee vain kansalaisopiston tuntiopettajaa (Liite 12 14 §) ja kansanopiston tuntiopettajaa (Liite 13 11 §)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Tähän merkitään tehtäväkohtainen palkka, joka sisältää palveluvuosien vaikutuksen palkkaan (Osio C Liite 1 7 § ja 8 §)
 </t>
        </r>
      </text>
    </comment>
    <comment ref="L30" authorId="1">
      <text>
        <r>
          <rPr>
            <b/>
            <sz val="8"/>
            <rFont val="Tahoma"/>
            <family val="2"/>
          </rPr>
          <t>Osio C Liite 1 15§</t>
        </r>
      </text>
    </comment>
  </commentList>
</comments>
</file>

<file path=xl/comments4.xml><?xml version="1.0" encoding="utf-8"?>
<comments xmlns="http://schemas.openxmlformats.org/spreadsheetml/2006/main">
  <authors>
    <author>Freund Hannu</author>
  </authors>
  <commentList>
    <comment ref="Q116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  <comment ref="Q121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</commentList>
</comments>
</file>

<file path=xl/sharedStrings.xml><?xml version="1.0" encoding="utf-8"?>
<sst xmlns="http://schemas.openxmlformats.org/spreadsheetml/2006/main" count="791" uniqueCount="513">
  <si>
    <t>Kalleusluokka</t>
  </si>
  <si>
    <t>Hinnoittelutunnus</t>
  </si>
  <si>
    <t>I kl</t>
  </si>
  <si>
    <t>II kl</t>
  </si>
  <si>
    <t>Koodi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</si>
  <si>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</si>
  <si>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</si>
  <si>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</si>
  <si>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</si>
  <si>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</si>
  <si>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</si>
  <si>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</si>
  <si>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</si>
  <si>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</si>
  <si>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</si>
  <si>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</si>
  <si>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</si>
  <si>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40304005 Peruskoulun lehtori/ykkt ja perus-/lukio-op. kelp. tai aiempi vanh. lehtorin kelp.</t>
  </si>
  <si>
    <t>40304007 Peruskoulun lehtori/muu kuin em. perus-, aineen-, luokan- tai erit.op.opettajan kelp.</t>
  </si>
  <si>
    <t>40304008 Peruskoulun lehtori/ykkt</t>
  </si>
  <si>
    <t>40304009 Peruskoulun lehtori/korkeakoulututkinto</t>
  </si>
  <si>
    <t>40304010 Peruskoulun lehtori/muu kuin edellä mainittu</t>
  </si>
  <si>
    <t>40304012 Peruskoulun erityisopet.opettaja/ykkt ja erit.op.kelp.</t>
  </si>
  <si>
    <t>40304013 Peruskoulun erityisopet.opettaja/erit.op.kelp.</t>
  </si>
  <si>
    <t>40304014 Peruskoulun erityisopet.opettaja/akkt ja erit.op.kelp</t>
  </si>
  <si>
    <t>40304015 Peruskoulun erityisopet.opettaja/ykkt ja perus/lukio-opetuksen kelp.</t>
  </si>
  <si>
    <t>40304016 Vaik.kehitysvamm.(EHA 2) opetuksen erityisopettajan kelp.tai perus-/lukio-op. kelp.</t>
  </si>
  <si>
    <t>40304017 Peruskoulun erityisopet.opettaja/muu kuin em.</t>
  </si>
  <si>
    <t>40304020 Esiluokanopettaja/ykkt ja perus-/lukio-opetuksen kelp.</t>
  </si>
  <si>
    <t>40304021 Esiluokanopettaja/asetuksen 986/1998 7 §:n mukainen kelp.</t>
  </si>
  <si>
    <t>40304022 Esiluokanopettaja/muu kuin edellä mainittu</t>
  </si>
  <si>
    <t>40304030 Peruskoulun luokanopettaja/ykkt ja perus-/lukio-opetuksen kelp</t>
  </si>
  <si>
    <t>40304031 Peruskoulun luokanopettaja/perus-/lukio-opetuksen kelp</t>
  </si>
  <si>
    <t>40304033 Peruskoulun luokanopettaja/muu kuin edellä mainittu</t>
  </si>
  <si>
    <t>40307038 Vuosiluokkien 7-9 tuntiop/ykkt ja perus-/lukio-op.kelp. tai aiempi vanh. lehtorin kelp.</t>
  </si>
  <si>
    <t>40307040 Vuosiluokkien 7-9 tuntiop/muu kuin em. perus-, aineen-, luokan- tai erit.op. Opet. kelp.</t>
  </si>
  <si>
    <t>40307041 Vuosiluokkien 7-9 tuntiop/ylempi korkeakoulututkinto</t>
  </si>
  <si>
    <t>40307042 Vuosiluokkien 7-9 tuntiop/korkeakoulututkinto</t>
  </si>
  <si>
    <t>40307043 Vuosiluokkien 7-9 tuntiop/muu kuin edellä mainittu</t>
  </si>
  <si>
    <t>40307044 Erityisopetuksen tuntiopettaja/ykkt ja erit.op.kelp.</t>
  </si>
  <si>
    <t>40307045 Erityisopetuksen tuntiopettaja/erit.op.kelp.</t>
  </si>
  <si>
    <t>40307046 Erityisopetuksen tuntiopettaja/akkt ja erit.op.kelp</t>
  </si>
  <si>
    <t>40307047 Erityisopetuksen tuntiopettaja/ykkt ja perus/lukio-opetuksen kelp.</t>
  </si>
  <si>
    <t>40307048 Vaik.kehitysvamm.(EHA 2) opetuksen erityisop.. kelp.tai perus-/lukio-opetuksen kelp.</t>
  </si>
  <si>
    <t>40307049 Erityisopetuksen tuntiopettaja/muu kuin em.</t>
  </si>
  <si>
    <t>40307056 Vuosiluokkien 1-6 tuntiopettaja/ykkt ja perus-/lukio-opetuksen kelp</t>
  </si>
  <si>
    <t>40307057 Vuosiluokkien 1-6 tuntiopettaja/perus-/lukio-opetuksen kelp</t>
  </si>
  <si>
    <t>40307059 Vuosiluokkien 1-6 tuntiopettaja/muu kuin edellä mainittu</t>
  </si>
  <si>
    <t>40307062 Esiopetuksen tuntiopettaja/ykkt ja perus-/lukio-opetuksen kelp.</t>
  </si>
  <si>
    <t>40307063 Esiopetuksen tuntiopettaja/asetuksen 986/1998 7 §:n mukainen kelp.</t>
  </si>
  <si>
    <t>40307064 Esiopetuksen tuntiopettaja/muu kuin edellä mainittu</t>
  </si>
  <si>
    <t>40404017 Lukion lehtori/ykkt ja lukio-opetuksen kelp. tai aiempi vanh. lehtorin kelp.</t>
  </si>
  <si>
    <t>40404018 Lukion lehtori/aiempi lukio-op.kelp tai  perusop.kelp.</t>
  </si>
  <si>
    <t>40404022 Lukion lehtori/korkeakoulututk.</t>
  </si>
  <si>
    <t>40404023 Lukion lehtori/muu tutk.</t>
  </si>
  <si>
    <t>40404024 Aikuislukion ja aikuislinjan lehtori/ykkt ja lukio/perusop. kelp. tai aiempi vanh. leht. kelp.</t>
  </si>
  <si>
    <t>40404025 Aikuislukion ja aikuislinjan lehtori/lukio/perusop. kelp. tai aiempi aikuislukion op. kelp.</t>
  </si>
  <si>
    <t>40404026 Aikuislukion ja aikuislinjan lehtori/muu</t>
  </si>
  <si>
    <t>40404027 Aikuislukion ja aikuislinjan lehtori/korkeakoulututkinto</t>
  </si>
  <si>
    <t>40407039 Lukion tuntiopettaja/akkt ym.</t>
  </si>
  <si>
    <t>40407041 Lukion tuntiopettaja/muu tutk.</t>
  </si>
  <si>
    <t>40407042 Lukion tuntiopettaja/korkeakoulututk.</t>
  </si>
  <si>
    <t>40407050 Aikuislukion tuntiopettaja/ykkt ja lukio-/perusop. kelp tai aiempi vanh. lehtorin kelp.</t>
  </si>
  <si>
    <t>40407051 Aikuislukion tuntiopettaja/akkt ym.</t>
  </si>
  <si>
    <t>40407053 Aikuislukion tuntiopettaja/korkeakoulututk.</t>
  </si>
  <si>
    <t xml:space="preserve">40407054 Aikuislukion tuntiopettaja/muu </t>
  </si>
  <si>
    <t>40804008 Musiikkioppil. ammatillisen koulutuksen opettaja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</si>
  <si>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</si>
  <si>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</si>
  <si>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</si>
  <si>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</si>
  <si>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</si>
  <si>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</si>
  <si>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</si>
  <si>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</si>
  <si>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</si>
  <si>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</si>
  <si>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</si>
  <si>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</si>
  <si>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</si>
  <si>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</si>
  <si>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</si>
  <si>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</si>
  <si>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</si>
  <si>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</si>
  <si>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40307054 Vuosiluokkien 1-6 tuntiopettaja./ykkt ja aineenopet. kelpoisuus</t>
  </si>
  <si>
    <t>TEHTÄVÄKOHTAINEN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</si>
  <si>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</si>
  <si>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</si>
  <si>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</si>
  <si>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</si>
  <si>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</si>
  <si>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</si>
  <si>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</si>
  <si>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</si>
  <si>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</si>
  <si>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</si>
  <si>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</si>
  <si>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</si>
  <si>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</si>
  <si>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</si>
  <si>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</si>
  <si>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</si>
  <si>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</si>
  <si>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</si>
  <si>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</si>
  <si>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</si>
  <si>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</si>
  <si>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 Tehtäväkohtainen palkka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</si>
  <si>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</si>
  <si>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</si>
  <si>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</si>
  <si>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</si>
  <si>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</si>
  <si>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</si>
  <si>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</si>
  <si>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</si>
  <si>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40301101 Ala-asteen rehtori, 12-23</t>
  </si>
  <si>
    <t>40301201 Ala-asteen rehtori, 24-30</t>
  </si>
  <si>
    <t>40301102 Yläasteen rehtori, -6</t>
  </si>
  <si>
    <t>40301202 Yläasteen rehtori, 7-14</t>
  </si>
  <si>
    <t>40301302 Yläasteen rehtori, 15-19</t>
  </si>
  <si>
    <t>40301103 Erityiskoulun reht., 6-11</t>
  </si>
  <si>
    <t>40301203 Erityiskoulun reht., 12-20</t>
  </si>
  <si>
    <t>40301303 Erityiskoulun reht., 21-25</t>
  </si>
  <si>
    <t>40301403 Erityiskoulun reht., 26-</t>
  </si>
  <si>
    <t>40302000 Peruskoulun kokonaistyöajassa oleva apulaisrehtori</t>
  </si>
  <si>
    <t>40402000 Lukion kokonaistyöajassa oleva apulaisrehtori</t>
  </si>
  <si>
    <t>40401005 Lukion rehtori</t>
  </si>
  <si>
    <t>40401011 Aikuislukion rehtori</t>
  </si>
  <si>
    <t>40304066 Peruskoulun oppilaanohjaaja</t>
  </si>
  <si>
    <t>40304067 Peruskoulun oppilaanohjaaja, ei kelpoisuutta</t>
  </si>
  <si>
    <t>40304028 Peruskoulun luokanopet./ykkt ja aineenopet. kelpoisuus</t>
  </si>
  <si>
    <t>40901024 Ammatillisen oppilaitoksen rehtori</t>
  </si>
  <si>
    <t>40801002 Musiikkioppilaitoksen rehtori</t>
  </si>
  <si>
    <t>40802005 Musiikkioppilaitoksen apulaisrehtori</t>
  </si>
  <si>
    <t>40807026 Musiikkioppil. tuntiopettaja/ykkt</t>
  </si>
  <si>
    <t>40701011 Kansanopiston rehtori</t>
  </si>
  <si>
    <t>40704021 Kansanopiston opettaja/ykkt (vaihtoehto 2)</t>
  </si>
  <si>
    <t>40704022 Kansanopiston opettaja/akkt (vaihtoehto 2)</t>
  </si>
  <si>
    <t>40704023 Kansanopiston opettaja/muu tutk.(vaihtoehto 2)</t>
  </si>
  <si>
    <t>40501001 Lasten ja nuorten taidekoulun rehtori/ykkt</t>
  </si>
  <si>
    <t>40501002 Lasten ja nuorten taidekoulun rehtori/kuv.taidon op. tutk.</t>
  </si>
  <si>
    <t>40504004 Lasten ja nuorten taidekoulun op. v.e. 1</t>
  </si>
  <si>
    <t>40504005 Lasten ja nuorten taidekoulun op. v.e. 2</t>
  </si>
  <si>
    <t>+ Vuosiviikkoylituntipalkkiot yht</t>
  </si>
  <si>
    <t xml:space="preserve">   Peruspalkka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</si>
  <si>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</si>
  <si>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</si>
  <si>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</si>
  <si>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</si>
  <si>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</si>
  <si>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40407037 Lukion tuntiopettaja/ykkt ja lukio-/perusopetuksen kelp. tai aiempi vanh. lehtorin kelp.</t>
  </si>
  <si>
    <t>Tuntiopettajan tuntipalkkio</t>
  </si>
  <si>
    <t>VÄHIMMÄISPALKKA:</t>
  </si>
  <si>
    <t>PALVELUVUODET:</t>
  </si>
  <si>
    <t>YLITUNTIPALKKIOIDEN LKM:</t>
  </si>
  <si>
    <t xml:space="preserve">   Palkka</t>
  </si>
  <si>
    <t>+ Epämukavan työajan lisät yht.</t>
  </si>
  <si>
    <t>0 vuotta palvelua</t>
  </si>
  <si>
    <t>10 vuotta palvelua</t>
  </si>
  <si>
    <t>15 vuotta palvelua</t>
  </si>
  <si>
    <t>Alaraja</t>
  </si>
  <si>
    <t>Yläraja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</si>
  <si>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</si>
  <si>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</si>
  <si>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</si>
  <si>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</si>
  <si>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</si>
  <si>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</si>
  <si>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</si>
  <si>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</si>
  <si>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</si>
  <si>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</si>
  <si>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</si>
  <si>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</si>
  <si>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</si>
  <si>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</si>
  <si>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</si>
  <si>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</si>
  <si>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</si>
  <si>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</si>
  <si>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</si>
  <si>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Osio B</t>
  </si>
  <si>
    <t>Liite 1</t>
  </si>
  <si>
    <t>Esiluokanopettaja/muu kuin edellä mainittu</t>
  </si>
  <si>
    <t>Esiopetuksen tuntiopettaja/muu kuin edellä mainittu</t>
  </si>
  <si>
    <t>Liite 2</t>
  </si>
  <si>
    <t>Liite 3</t>
  </si>
  <si>
    <t>Aikuislukion ja aikuislinjan lehtori/korkeakoulututkinto</t>
  </si>
  <si>
    <t>Osio C</t>
  </si>
  <si>
    <t>Apulaisrehtori ja aikuiskoulutusjohtaja/muu tutkinto</t>
  </si>
  <si>
    <t>Opinto-ohjaaja/muu tutkinto</t>
  </si>
  <si>
    <t>Liite 10</t>
  </si>
  <si>
    <t>Liite 11</t>
  </si>
  <si>
    <t>Lasten ja nuorten taidekoulun tuntiopettaja</t>
  </si>
  <si>
    <t>Liite 12</t>
  </si>
  <si>
    <t>Kansalaisopiston tuntiopettaja</t>
  </si>
  <si>
    <t>Liite 13</t>
  </si>
  <si>
    <t>Tuntipalkat:</t>
  </si>
  <si>
    <t>Musiikkioppilaitoksen sivutoimisen tuntiopettajan tuntipalkkio:</t>
  </si>
  <si>
    <t>Muu soveltuva tutkinto taikka aiempi opettajan tai säestäjän kelpoisuus</t>
  </si>
  <si>
    <t>Lasten ja nuorten taidekoulun tuntiopettajan tuntipalkkio:</t>
  </si>
  <si>
    <t>Kansalaisopiston tuntiopettajan tuntipalkkio:</t>
  </si>
  <si>
    <t>Kansanopiston tuntiopettajan tuntipalkkio: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</si>
  <si>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</si>
  <si>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</si>
  <si>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</si>
  <si>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40507040 Lasten ja nuorten taidekoulun tuntiopettaja</t>
  </si>
  <si>
    <t>40601001 Kansalaisopistojen rehtori</t>
  </si>
  <si>
    <t>40602002 Kansalaisopistojen apulaisrehtori</t>
  </si>
  <si>
    <t>40604008 Kansalaisopistojen suunnittelijaopettaja/ykkt</t>
  </si>
  <si>
    <t>40604009 Kansalaisopistojen suunnittelijaopettaja/muu</t>
  </si>
  <si>
    <t>40604006 Kansalaisopiston opettaja/ykkt</t>
  </si>
  <si>
    <t>40604007 Kansalaisopiston opettaja/muu tutk.</t>
  </si>
  <si>
    <t>40607033 Kansalaisopiston tuntiopettaja</t>
  </si>
  <si>
    <t>Sivut tuntipalkkio</t>
  </si>
  <si>
    <t>I &amp; II</t>
  </si>
  <si>
    <t>vain tuntipalkkio</t>
  </si>
  <si>
    <t>aikk</t>
  </si>
  <si>
    <t>Palveluvuosia</t>
  </si>
  <si>
    <t xml:space="preserve"> 4. Valitse vuosien lkm:</t>
  </si>
  <si>
    <t>MUUT LISÄT:</t>
  </si>
  <si>
    <t>+ Muut lisät yht.</t>
  </si>
  <si>
    <t>Peruskoulun kokonaistyöajassa oleva apulaisrehtori (osio B 5 §)</t>
  </si>
  <si>
    <t>Lukion kokonaistyöajassa oleva apulaisrehtori (osio B 5 §)</t>
  </si>
  <si>
    <t>Lukion rehtori (osio B 4 §)</t>
  </si>
  <si>
    <t>Aikuislukion rehtori (osio B 4 §)</t>
  </si>
  <si>
    <t>Peruskoulun oppilaanohjaaja (osio B 6 §)</t>
  </si>
  <si>
    <t>Kansanopiston tuntiopettaja</t>
  </si>
  <si>
    <t xml:space="preserve">Soveltuva ylempi korkeakoulututkinto tai soveltuva ylempi ammattikorkeakoulututkinto </t>
  </si>
  <si>
    <t>Soveltuva ammattikorkeakoulututkinto, konservatorion jatkotutkinto tai aiempi lehtorin kelpoisuus</t>
  </si>
  <si>
    <t>PERUSPALKKA:</t>
  </si>
  <si>
    <t>3. Syötä alennus-%, jos ei kelpoisuutta</t>
  </si>
  <si>
    <t>40301101 Peruskoulu -  Vuosiluokkia 1–6 käsittävän koulun rehtori, 12–23 palkkaperusteryhmää</t>
  </si>
  <si>
    <t>40301201 Peruskoulu -  Vuosiluokkia 1–6 käsittävän koulun rehtori, 24–30 palkkaperusteryhmää</t>
  </si>
  <si>
    <t>40301102 Peruskoulu -  Vuosiluokkien 7–9 käsittävän koulun rehtori, –6 palkkaperusteryhmää</t>
  </si>
  <si>
    <t>40301202 Peruskoulu -  Vuosiluokkia 7–9 käsittävän koulun rehtori, 7–14 palkkaperusteryhmää</t>
  </si>
  <si>
    <t>40301302 Peruskoulu -  Vuosiluokkia 7–9 käsittävän koulun rehtori, 15–19 palkkaperusteryhmää</t>
  </si>
  <si>
    <t>40301103 Peruskoulu -  Erityiskoulun rehtori, 6–11 palkkaperusteryhmää</t>
  </si>
  <si>
    <t>40301203 Peruskoulu -  Erityiskoulun rehtori, 12–20 palkkaperusteryhmää</t>
  </si>
  <si>
    <t>40301303 Peruskoulu -  Erityiskoulun rehtori, 21–25 palkkaperusteryhmää</t>
  </si>
  <si>
    <t>40301403 Peruskoulu -  Erityiskoulun rehtori, 26– palkkaperusteryhmää</t>
  </si>
  <si>
    <t>40302000 Peruskoulu -  Peruskoulun kokonaistyöajassa oleva apulaisrehtori (osio B 5 §)</t>
  </si>
  <si>
    <t>40402000 Lukio -  Lukion kokonaistyöajassa oleva apulaisrehtori (osio B 5 §)</t>
  </si>
  <si>
    <t>40401005 Lukio -  Lukion rehtori (osio B 4 §)</t>
  </si>
  <si>
    <t>40401011 Aikuislukio -  Aikuislukion rehtori (osio B 4 §)</t>
  </si>
  <si>
    <t>40304066 Peruskoulu -  Peruskoulun oppilaanohjaaja (osio B 6 §)</t>
  </si>
  <si>
    <t>40304067 Peruskoulu -  Peruskoulun oppilaanohjaaja, ei kelpoisuutta (osio B 6 § 2 mom.)</t>
  </si>
  <si>
    <t>40304005 Peruskoulu -  Lehtori/ylempi korkeakoulututkinto ja perus-/lukio-opetusta antavan opettajan kelpoisuus tai aiempi vanhemman lehtorin kelpoisuus</t>
  </si>
  <si>
    <t>40304007 Peruskoulu -  Lehtori/muu kuin em. perus-, aineen-, luokan- tai erityisopetuksen opettajan kelpoisuus</t>
  </si>
  <si>
    <t>40304008 Peruskoulu -  Lehtori/ylempi korkeakoulututkinto</t>
  </si>
  <si>
    <t>40304009 Peruskoulu -  Lehtori/korkeakoulututkinto</t>
  </si>
  <si>
    <t>40304010 Peruskoulu -  Lehtori/muu kuin edellä mainittu</t>
  </si>
  <si>
    <t>40304012 Peruskoulu -  Erityisopetuksen opettaja/ylempi korkeakoulututkinto ja erityisopetusta antavan opettajan kelpoisuus</t>
  </si>
  <si>
    <t>40304014 Peruskoulu -  Erityisopetuksen opettaja/alempi korkeakoulututkinto ja erityisopetusta antavan opettajan kelpoisuus</t>
  </si>
  <si>
    <t>40304013 Peruskoulu -  Erityisopetuksen opettaja/erityisopetusta antavan opettajan kelpoisuus</t>
  </si>
  <si>
    <t>40304015 Peruskoulu -  Erityisopetuksen opettaja/ylempi korkeakoulututkinto ja perus/lukio-opetusta antavan opettajan kelpoisuus</t>
  </si>
  <si>
    <t>40304016 Peruskoulu -  Vaikeimmin kehitysvammaisille (EHA 2) annettavan opetuksen erityisopettajan kelpoisuus tai perus-/lukio-opetusta antavan opettajan kelpoisuus</t>
  </si>
  <si>
    <t>40304017 Peruskoulu -  Erityisopetuksen opettaja/muu kuin edellä mainittu</t>
  </si>
  <si>
    <t>40304028 Peruskoulu -  Luokanopettaja/luokanopettajan kelpoisuus, ylempi korkeakoulututkinto,  aineenopettajan kelpoisuus jossakin peruskoulussa yhteisenä opetettavassa aineessa</t>
  </si>
  <si>
    <t>40304030 Peruskoulu -  Luokanopettaja/ylempi korkeakoulututkinto ja perus-/lukio-opetusta antavan opettajan kelpoisuus</t>
  </si>
  <si>
    <t>40304031 Peruskoulu -  Luokanopettaja/perus-/lukio-opetusta antavan opettajan kelpoisuus</t>
  </si>
  <si>
    <t>40304033 Peruskoulu -  Luokanopettaja/muu kuin edellä mainittu</t>
  </si>
  <si>
    <t>40304020 Peruskoulu -  Esiluokanopettaja/ylempi korkeakoulututkinto ja perus-/lukio-opetusta antavan opettajan kelpoisuus</t>
  </si>
  <si>
    <t>40304021 Peruskoulu -  Esiluokanopettaja/asetuksen 986/1998 7 §:n mukainen kelpoisuus</t>
  </si>
  <si>
    <t>40304022 Peruskoulu -  Esiluokanopettaja/muu kuin edellä mainittu</t>
  </si>
  <si>
    <t xml:space="preserve">40307038 Peruskoulu -  Vuosiluokkien 7–9 tuntiopettaja/ylempi korkeakoulututkinto ja perus-/lukio-opetusta antavan opettajan kelpoisuus tai aiempi vanhemman lehtorin kelpoisuus  </t>
  </si>
  <si>
    <t>40307040 Peruskoulu -  Vuosiluokkien 7–9 tuntiopettaja/muu kuin em. perus-, aineen-, luokan- tai erityisopetuksen opettajan kelpoisuus</t>
  </si>
  <si>
    <t>40307041 Peruskoulu -  Vuosiluokkien 7–9 tuntiopettaja/ylempi korkeakoulututkinto</t>
  </si>
  <si>
    <t>40307042 Peruskoulu -  Vuosiluokkien 7–9 tuntiopettaja/korkeakoulututkinto</t>
  </si>
  <si>
    <t>40307043 Peruskoulu -  Vuosiluokkien 7–9 tuntiopettaja/muu kuin edellä mainittu</t>
  </si>
  <si>
    <t>40307044 Peruskoulu -  Erityisopetuksen tuntiopettaja/ylempi korkeakoulututkinto ja erityisopettajan kelpoisuus</t>
  </si>
  <si>
    <t>40307046 Peruskoulu -  Erityisopetuksen tuntiopettaja/alempi korkeakoulututkinto ja erityisopettajan kelpoisuus</t>
  </si>
  <si>
    <t>40307045 Peruskoulu -  Erityisopetuksen tuntiopettaja/erityisopettajan kelpoisuus</t>
  </si>
  <si>
    <t>40307047 Peruskoulu -  Erityisopetuksen tuntiopettaja/ylempi korkeakoulututkinto ja perus/lukio-opetusta antavan opettajan kelpoisuus</t>
  </si>
  <si>
    <t>40307048 Peruskoulu -  Vaikeimmin kehitysvammaisille (EHA 2) annettavan opetuksen erityisopettajan kelpoisuus tai perus-/lukio-opetusta antavan opettajan kelpoisuus.</t>
  </si>
  <si>
    <t>40307049 Peruskoulu -  Erityisopetuksen tuntiopettaja/muu kuin edellä mainittu</t>
  </si>
  <si>
    <t>40307054 Peruskoulu -  Vuosiluokkien 1–6 tuntiopettaja/luokanopettajan kelpoisuus, ylempi korkeakoulututkinto ja aineenopettajan kelpoisuus jossakin peruskoulussa  yhteisenä opetettavassa aineessa</t>
  </si>
  <si>
    <t>40307056 Peruskoulu -  Vuosiluokkien 1–6 tuntiopettaja/ylempi korkeakoulututkinto ja perus-/lukio-opetusta antavan opettajan kelpoisuus</t>
  </si>
  <si>
    <t>40307057 Peruskoulu -  Vuosiluokkien 1–6 tuntiopettaja/perus-/lukio-opetusta antavan opettajan kelpoisuus</t>
  </si>
  <si>
    <t>40307059 Peruskoulu -  Vuosiluokkien 1–6 tuntiopettaja/muu kuin edellä mainittu</t>
  </si>
  <si>
    <t>40307062 Peruskoulu -  Esiopetuksen tuntiopettaja/ylempi korkeakoulututkinto ja perus-/lukio-opetusta antavan opettajan kelpoisuus</t>
  </si>
  <si>
    <t>40307063 Peruskoulu -  Esiopetuksen tuntiopettaja/asetuksen 986/1998 7 §:n mukainen kelpoisuus</t>
  </si>
  <si>
    <t>40307064 Peruskoulu -  Esiopetuksen tuntiopettaja/muu kuin edellä mainittu</t>
  </si>
  <si>
    <t>40404017 Lukio -  Lehtori/ylempi korkeakoulututkinto ja lukio-opetusta antavan opettajan kelpoisuus tai aiempi vanhemman lehtorin kelpoisuus</t>
  </si>
  <si>
    <t>40404018 Lukio -  Lehtori/aiempi lukio-opetusta antavan opettajan kelpoisuus tai perusopetusta antavan opettajan kelpoisuus</t>
  </si>
  <si>
    <t>40404022 Lukio -  Lehtori/korkeakoulututkinto</t>
  </si>
  <si>
    <t>40404023 Lukio -  Lehtori/muu kuin edellä mainittu tutkinto</t>
  </si>
  <si>
    <t>40407037 Lukio -  Tuntiopettaja/ylempi korkeakoulututkinto ja lukio-opetusta antavan opettajan kelpoisuus tai aiempi vanhemman lehtorin kelpoisuus</t>
  </si>
  <si>
    <t>40407039 Lukio -  Tuntiopettaja/aiempi  lukio-opetusta antavan opettajan kelpoisuus tai perusopetusta antavan opettajan kelpoisuus</t>
  </si>
  <si>
    <t>40407042 Lukio -  Tuntiopettaja/korkeakoulututkinto</t>
  </si>
  <si>
    <t>40407041 Lukio -  Tuntiopettaja/muu kuin edellä mainittu tutkinto</t>
  </si>
  <si>
    <t>40404024 Aikuislukio -  Aikuislukion ja aikuislinjan lehtori/ylempi korkeakoulututkinto ja lukio-opetusta antavan opettajan kelpoisuus tai aiempi vanhemman lehtorin kelpoisuus</t>
  </si>
  <si>
    <t>40404025 Aikuislukio -  Aikuislukion ja aikuislinjan lehtori/aiempi lukio-opetusta antavan tai muu aikuislukion opettajan kelpoisuus taikka perusopetusta antavan opettajan kelpoisuus</t>
  </si>
  <si>
    <t>40404027 Aikuislukio -  Aikuislukion ja aikuislinjan lehtori/korkeakoulututkinto</t>
  </si>
  <si>
    <t>40404026 Aikuislukio -  Aikuislukion ja aikuislinjan lehtori/muu kuin edellä mainittu</t>
  </si>
  <si>
    <t>40407050 Aikuislukio -  Tuntiopettaja/ylempi korkeakoulututkinto ja lukio-opetusta antavan opettajan kelpoisuus tai aiempi vanhemman lehtorin kelpoisuus</t>
  </si>
  <si>
    <t>40407051 Aikuislukio -  Tuntiopettaja/aiempi lukio-opetusta antavan tai muu aikuislukion opettajan kelpoisuus taikka perusopetusta antavan opettajan kelpoisuus</t>
  </si>
  <si>
    <t>40407053 Aikuislukio -  Tuntiopettaja/korkeakoulututkinto</t>
  </si>
  <si>
    <t>40407054 Aikuislukio -  Tuntiopettaja/muu kuin edellä mainittu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</si>
  <si>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</si>
  <si>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</si>
  <si>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</si>
  <si>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</si>
  <si>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</si>
  <si>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40804012 Musiikkioppil. -  Opettaja/soveltuva ylempi korkeakoulututkinto tai soveltuva ylempi ammattikorkeakoulututkinto</t>
  </si>
  <si>
    <t>40804014 Musiikkioppil. -  Opettaja/soveltuva ammattikorkeakoulututkinto, konservatorion jatkotutkinto tai aiempi lehtorin kelpoisuus</t>
  </si>
  <si>
    <t>40804013 Musiikkioppil. -  Opettaja/muu tutkinto tai aiempi opettajan tai säestäjän kelpoisuus</t>
  </si>
  <si>
    <t>40804008 Musiikkioppil. -  Ammatillisen koulutuksen opettaja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</si>
  <si>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</si>
  <si>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</si>
  <si>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</si>
  <si>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</si>
  <si>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</si>
  <si>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</si>
  <si>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40501001 Lasten ja nuorten taidekoulu -  Rehtori/taideteollisessa korkeakoulussa tai muussa korkeakoulussa suoritettu soveltuva ylempi korkeakoulututkinto</t>
  </si>
  <si>
    <t>40501002 Lasten ja nuorten taidekoulu -  Rehtori/taideteollisessa korkeakoulussa tai taideteollisessa oppilaitoksessa suoritettu kuvaamataidon opettajan tutkinto</t>
  </si>
  <si>
    <t>40504004 Lasten ja nuorten taidekoulu -  Taidekoulun opettaja vaihtoehto 1</t>
  </si>
  <si>
    <t>40504005 Lasten ja nuorten taidekoulu -  Taidekoulun opettaja vaihtoehto 2</t>
  </si>
  <si>
    <t>40507040 Lasten ja nuorten taidekoulu -  Lasten ja nuorten taidekoulun tuntiopettaja</t>
  </si>
  <si>
    <t>40601001 Kansalaisopisto -  Rehtori</t>
  </si>
  <si>
    <t>40602002 Kansalaisopisto -  Apulaisrehtori</t>
  </si>
  <si>
    <t>40604008 Kansalaisopisto -  Suunnittelijaopettaja/soveltuva ylempi korkeakoulututkinto tai soveltuva ylempi ammattikorkeakoulututkinto</t>
  </si>
  <si>
    <t>40604009 Kansalaisopisto -  Suunnittelijaopettaja/muu tutkinto tai erivapaus kansalaisopistonopettajan virkaan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</si>
  <si>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</si>
  <si>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</si>
  <si>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40607033 Kansalaisopisto -  Kansalaisopiston tuntiopettaja</t>
  </si>
  <si>
    <t>40701011 Kansanopisto -  Rehtori</t>
  </si>
  <si>
    <t>40704021 Kansanopisto -  Opettaja/soveltuva ylempi korkeakoulututkinto (vaihtoehto 2)</t>
  </si>
  <si>
    <t>40704022 Kansanopisto -  Opettaja/soveltuva alempi korkeakoulututkinto (vaihtoehto 2)</t>
  </si>
  <si>
    <t>40704023 Kansanopisto -  Opettaja/muu tutkinto (vaihtoehto 2)</t>
  </si>
  <si>
    <t>40707033 Kansanopisto -  Kansanopiston tuntiopettaja</t>
  </si>
  <si>
    <t>Ammatillinen vuosityöaika (Osio C liite 1)</t>
  </si>
  <si>
    <t>8 vuotta palvelua</t>
  </si>
  <si>
    <t>5 vuotta palvelua</t>
  </si>
  <si>
    <t>20 vuotta palvelua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</si>
  <si>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</si>
  <si>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</si>
  <si>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</si>
  <si>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</si>
  <si>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</si>
  <si>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</si>
  <si>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</si>
  <si>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</si>
  <si>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</si>
  <si>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 xml:space="preserve">  Vähimmäispalkka</t>
  </si>
  <si>
    <t xml:space="preserve">Lukion opinto-ohjaaja (osio B 6a § 1 mom.) </t>
  </si>
  <si>
    <t>Lukion opinto-ohjaaja, ei kelpoisuutta (osio B 6a § 2 mom.)</t>
  </si>
  <si>
    <t>Osio C 1</t>
  </si>
  <si>
    <t>40301301 Peruskoulu -  Vuosiluokkia 1–6 käsittävän koulun rehtori, 31–37 palkkaperusteryhmää</t>
  </si>
  <si>
    <t>40301401 Peruskoulu -  Vuosiluokkia 1–6 käsittävän koulun rehtori, 38– palkkaperusteryhmää</t>
  </si>
  <si>
    <t>40301401 Ala-asteen rehtori, 38-</t>
  </si>
  <si>
    <t>40301301 Ala-asteen rehtori, 31-37</t>
  </si>
  <si>
    <t>40301402 Yläasteen rehtori, 20-24</t>
  </si>
  <si>
    <t>+ Työajan ylityskorvaukset alle 1700 t</t>
  </si>
  <si>
    <t>+ Työajan ylityskorvaukset yli 1700 t</t>
  </si>
  <si>
    <t>8. Syötä työajan ylityskorvausten tunnit alle 1700 t:</t>
  </si>
  <si>
    <t>40301402 Peruskoulu -  Vuosiluokkia 7–9 käsittävän koulun rehtori, 20–24</t>
  </si>
  <si>
    <t>TEHTÄVÄKOHTAINEN PALKKA:</t>
  </si>
  <si>
    <t>9. Syötä työajan ylityskorvauksten tunnit yli 1700 t:</t>
  </si>
  <si>
    <t>OSIO C Liite 1</t>
  </si>
  <si>
    <t>OSIO C Liite 1 Ammatillisen oppilaitoksen opetushenkilöstö</t>
  </si>
  <si>
    <t>10. Syötä ilta-, yö-, arkipyhä- ja viikonlopputyön t:</t>
  </si>
  <si>
    <t>Vuosiluokkia 1–6 käsittävän koulun rehtori, 12–23 palkkaperusteryhmää</t>
  </si>
  <si>
    <t>Vuosiluokkia 1–6 käsittävän koulun rehtori, 24–30 palkkaperusteryhmää</t>
  </si>
  <si>
    <t>Vuosiluokkia 1–6 käsittävän koulun rehtori, 31– 37 palkkaperusteryhmää</t>
  </si>
  <si>
    <t>Vuosiluokkia 1–6 käsittävän koulun rehtori, 38–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</si>
  <si>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</si>
  <si>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</si>
  <si>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</si>
  <si>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Vuosiluokkia 7–9 käsittävän koulun rehtori, 20–24 palkkaperusteryhmää</t>
  </si>
  <si>
    <t>Vuosiluokkia 7–9 käsittävän koulun rehtori, 25–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</si>
  <si>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</si>
  <si>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</si>
  <si>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</si>
  <si>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</si>
  <si>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Peruskoulun oppilaanohjaaja, ei kelpoisuutta (osio B 6 § 2 mom.)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</si>
  <si>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</si>
  <si>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</si>
  <si>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</si>
  <si>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</si>
  <si>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</si>
  <si>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</si>
  <si>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</si>
  <si>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</si>
  <si>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</si>
  <si>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</si>
  <si>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</si>
  <si>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</si>
  <si>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</si>
  <si>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</si>
  <si>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Luokanopettaja/muu kuin edellä mainittu</t>
  </si>
  <si>
    <t>Esiluokanopettaja/ylempi korkeakoulututkinto ja perus-/lukio-opetusta antavan opettajan kelpoisuus</t>
  </si>
  <si>
    <t>Esiluokanopettaja/asetuksen 986/1998 7 §:n mukainen kelpoisuus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</si>
  <si>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</si>
  <si>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</si>
  <si>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</si>
  <si>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</si>
  <si>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</si>
  <si>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</si>
  <si>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</si>
  <si>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</si>
  <si>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</si>
  <si>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</si>
  <si>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</si>
  <si>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</si>
  <si>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</si>
  <si>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</si>
  <si>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tuntiopettaja/muu kuin edellä mainittu</t>
  </si>
  <si>
    <t>Esiopetuksen tuntiopettaja/ylempi korkeakoulututkinto ja perus-/lukio-opetusta antavan opettajan kelpoisuus</t>
  </si>
  <si>
    <t>Esiopetuksen tuntiopettaja/asetuksen 986/1998 7 §:n mukainen kelpoisuus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</si>
  <si>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</si>
  <si>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</si>
  <si>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</si>
  <si>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</si>
  <si>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</si>
  <si>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</si>
  <si>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</si>
  <si>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</si>
  <si>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</si>
  <si>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lehtori/muu kuin edellä mainittu</t>
  </si>
  <si>
    <t>Tuntiopettaja/aiempi lukio-opetusta antavan tai muu aikuislukion opettajan kelpoisuus taikka perusopetusta antavan opettajan kelpoisuus</t>
  </si>
  <si>
    <t>Tuntiopettaja/muu kuin edellä mainittu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</si>
  <si>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</si>
  <si>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</si>
  <si>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</si>
  <si>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</si>
  <si>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</si>
  <si>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</si>
  <si>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</si>
  <si>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</si>
  <si>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</si>
  <si>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</si>
  <si>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</si>
  <si>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</si>
  <si>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</si>
  <si>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</si>
  <si>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</si>
  <si>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</si>
  <si>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</si>
  <si>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</si>
  <si>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</si>
  <si>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</si>
  <si>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Taidekoulun opettaja vaihtoehto 1</t>
  </si>
  <si>
    <t>Taidekoulun opettaja vaihtoehto 2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</si>
  <si>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</si>
  <si>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</si>
  <si>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</si>
  <si>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</si>
  <si>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</si>
  <si>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</si>
  <si>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liite</t>
  </si>
  <si>
    <t>% rehtorista</t>
  </si>
  <si>
    <t>epäpät %</t>
  </si>
  <si>
    <t>Lukion erityisopettaja (Osio B 6b § 1 mom.)</t>
  </si>
  <si>
    <t xml:space="preserve">Lukion erityisopettaja, ei kelpoisuutta (Osio B 6b § 2 mom.) </t>
  </si>
  <si>
    <t>40404076 Lukion erityisopettaja</t>
  </si>
  <si>
    <t>40404077 Lukion erityisopettaja, ei kelpoisuutta</t>
  </si>
  <si>
    <t>KT/NP</t>
  </si>
  <si>
    <t>41103003 Opinto-ohjaaja/ylempi korkeakoulututkinto ja ylempi ammattikorkeakoulututkinto</t>
  </si>
  <si>
    <t>Osio G</t>
  </si>
  <si>
    <t>Päiväkodin johtaja</t>
  </si>
  <si>
    <t>Varhaiskasvatusyksikön apulaisjohtaja</t>
  </si>
  <si>
    <t>Varhaiskasvatuksen erityisopettaja</t>
  </si>
  <si>
    <t>Varhaiskasvatuksen opettaja</t>
  </si>
  <si>
    <t>45000020 Päiväkodin johtaja</t>
  </si>
  <si>
    <t>45000030 Varhaiskasvatusyksikön apulaisjohtaja</t>
  </si>
  <si>
    <t>45000042 Varhaiskasvatuksen erityisopettaja</t>
  </si>
  <si>
    <t>45000044 Varhaiskasvatuksen opettaja</t>
  </si>
  <si>
    <t>OVTES palkat ja palkkiot 1.8.2022 lukien</t>
  </si>
  <si>
    <t>Vuosiluokkia 7–9 käsittävän koulun rehtori, 45– palkkaperusteryhmää</t>
  </si>
  <si>
    <t>Lukion opinto-ohjauksen tuntiopettaja (osio B 6a § 1 mom.)</t>
  </si>
  <si>
    <t>Lukion opinto-ohjauksen tuntiopettaja, ei kelpoisuutta (osio B 6a § 2 mom.)</t>
  </si>
  <si>
    <t>Lukion erityisopetuksen tuntiopettaja (osio B 6b § 1 mom.)</t>
  </si>
  <si>
    <t>Lukion erityisopetuksen tuntiopettaja, ei kelpoisuutta (osio B 6b § 2 mom.)</t>
  </si>
  <si>
    <t>40301602 Peruskoulu - Vuosiluokkia 7–9 käsittävän koulun rehtori, 45– palkkaperusteryhmää</t>
  </si>
  <si>
    <t xml:space="preserve">40404066 Lukion opinto-ohjaaja (osio B 6a § 1 mom.) </t>
  </si>
  <si>
    <t>40404067 Lukion opinto-ohjaaja, ei kelpoisuutta (osio B 6a § 2 mom.)</t>
  </si>
  <si>
    <t>40407066 Lukion opinto-ohjauksen tuntiopettaja (osio B 6a § 1 mom.)</t>
  </si>
  <si>
    <t>40407067 Lukion opinto-ohjauksen tuntiopettaja, ei kelpoisuutta (osio B 6a § 2 mom.)</t>
  </si>
  <si>
    <t>40404076 Lukion erityisopettaja (Osio B 6b § 1 mom.)</t>
  </si>
  <si>
    <t xml:space="preserve">40404077 Lukion erityisopettaja, ei kelpoisuutta (Osio B 6b § 2 mom.) </t>
  </si>
  <si>
    <t>40407076 Lukion erityisopetuksen tuntiopettaja (osio B 6b § 1 mom.)</t>
  </si>
  <si>
    <t>40407077 Lukion erityisopetuksen tuntiopettaja, ei kelpoisuutta (osio B 6b § 2 mom.)</t>
  </si>
  <si>
    <t xml:space="preserve">40301602 Yläasteen rehtori, 45– </t>
  </si>
  <si>
    <t>40301402 Yläasteen rehtori, 25-44</t>
  </si>
  <si>
    <t xml:space="preserve">40407066 Lukion opinto-ohjauksen tuntiopettaja </t>
  </si>
  <si>
    <t>40407067 Lukion opinto-ohjauksen tuntiopettaja, ei kelpoisuutta</t>
  </si>
  <si>
    <t>40404066 Lukion opinto-ohjaaja</t>
  </si>
  <si>
    <t>40404067 Lukion opinto-ohjaaja, ei kelpoisuutta</t>
  </si>
  <si>
    <t>40407076 Lukion erityisopetuksen tuntiopettaja</t>
  </si>
  <si>
    <t>40407077 Lukion erityisopetuksen tuntiopettaja, ei kelpoisuutta</t>
  </si>
  <si>
    <t>Luokanopettaja/korkeakoulututkinto/varhaiskasvatuksen opettajan tutkinto</t>
  </si>
  <si>
    <t>Esiluokanopettaja/erityisesiluokan opettaja jolla erityisvarhaiskasvatuksen opettajan kelpoisuus</t>
  </si>
  <si>
    <t>Vuosiluokkien 1–6 tuntiopettaja/korkeakoulututkinto/varhaiskasvatuksen opettajan tutkinto</t>
  </si>
  <si>
    <t>Esiopetuksen tuntiopettaja/erityisesiluokan opettajan, jolla on erityisvarhaiskasvatuksen opettajan kelpoisuus</t>
  </si>
  <si>
    <t>40301502 Peruskoulu -  Vuosiluokkia 7–9 käsittävän koulun rehtori, 25–44 palkkaperusteryhmää</t>
  </si>
  <si>
    <t>40304098 Peruskoulu -  Luokanopettaja/korkeakoulututkinto/varhaiskasvatuksen opettajan tutkinto</t>
  </si>
  <si>
    <t>40304024 Peruskoulu -  Esiluokanopettaja/erityisesiluokan opettaja jolla erityisvarhaiskasvatuksen opettajan kelpoisuus</t>
  </si>
  <si>
    <t>40307065 Peruskoulu -  Esiopetuksen tuntiopettaja/erityisesiluokan opettajan, jolla on erityisvarhaiskasvatuksen opettajan kelpoisuus</t>
  </si>
  <si>
    <t>40307099 Peruskoulu -  Vuosiluokkien 1–6 tuntiopettaja/korkeakoulututkinto/varhaiskasvatuksen opettajan tutkinto</t>
  </si>
  <si>
    <t>40304098 Peruskoulun luokanopettaja/korkeakoulututk./varhaiskasvatuksen opettajan .tutk.</t>
  </si>
  <si>
    <t>40304024 Erityisesiluokan opettaja jolla erit.varhaiskasvatuksen opettajan kelp.</t>
  </si>
  <si>
    <t>40307065 Esiopetuksen tuntiopettaja/erityisesiluokan opett, erit.varhaiskasvatuksen opettajan. kelp.</t>
  </si>
  <si>
    <t>40307099 Vuosiluokkien 1-6 tuntiopettaja/korkeakoulututk./varhaiskasvatuksen opettajan.tutk.</t>
  </si>
  <si>
    <t>alle 3 vuotta</t>
  </si>
  <si>
    <t>3 vuotta</t>
  </si>
  <si>
    <t>7 vuotta</t>
  </si>
  <si>
    <t>kokemuslisä</t>
  </si>
  <si>
    <t>OVTES palkanlaskentaohjelma 1.8.2022 alkaen</t>
  </si>
  <si>
    <t>OVTES palkanlaskentaohjelma 1.8.2022 lukien</t>
  </si>
  <si>
    <t xml:space="preserve">Peruspalkat 1.8.2022 lukien, e/kk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</si>
</sst>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</numFmts>
  <fonts count="8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MS Sans Serif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theme="5" tint="-0.24997000396251678"/>
      <name val="MS Sans Serif"/>
      <family val="2"/>
    </font>
    <font>
      <sz val="10"/>
      <color rgb="FFFF0000"/>
      <name val="Arial Narrow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0" fontId="69" fillId="0" borderId="3" applyNumberFormat="0" applyFill="0" applyAlignment="0" applyProtection="0"/>
    <xf numFmtId="0" fontId="70" fillId="30" borderId="0" applyNumberFormat="0" applyBorder="0" applyAlignment="0" applyProtection="0"/>
    <xf numFmtId="0" fontId="64" fillId="0" borderId="0">
      <alignment/>
      <protection/>
    </xf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1" borderId="2" applyNumberFormat="0" applyAlignment="0" applyProtection="0"/>
    <xf numFmtId="0" fontId="79" fillId="32" borderId="8" applyNumberFormat="0" applyAlignment="0" applyProtection="0"/>
    <xf numFmtId="0" fontId="80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7" xfId="0" applyFont="1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3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33" borderId="17" xfId="0" applyFont="1" applyFill="1" applyBorder="1" applyAlignment="1" applyProtection="1">
      <alignment vertical="top"/>
      <protection/>
    </xf>
    <xf numFmtId="2" fontId="13" fillId="33" borderId="18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2" fontId="30" fillId="0" borderId="0" xfId="0" applyNumberFormat="1" applyFont="1" applyAlignment="1">
      <alignment/>
    </xf>
    <xf numFmtId="2" fontId="30" fillId="0" borderId="0" xfId="0" applyNumberFormat="1" applyFont="1" applyBorder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5" xfId="0" applyFont="1" applyFill="1" applyBorder="1" applyAlignment="1" applyProtection="1">
      <alignment/>
      <protection/>
    </xf>
    <xf numFmtId="4" fontId="8" fillId="36" borderId="35" xfId="0" applyNumberFormat="1" applyFont="1" applyFill="1" applyBorder="1" applyAlignment="1" applyProtection="1">
      <alignment horizontal="right"/>
      <protection/>
    </xf>
    <xf numFmtId="0" fontId="8" fillId="36" borderId="3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vertical="top" wrapText="1"/>
      <protection/>
    </xf>
    <xf numFmtId="0" fontId="7" fillId="33" borderId="19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37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8" fillId="36" borderId="39" xfId="0" applyFont="1" applyFill="1" applyBorder="1" applyAlignment="1" applyProtection="1">
      <alignment horizontal="left"/>
      <protection/>
    </xf>
    <xf numFmtId="2" fontId="8" fillId="36" borderId="40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0" fontId="0" fillId="0" borderId="35" xfId="0" applyBorder="1" applyAlignment="1">
      <alignment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0" fontId="35" fillId="34" borderId="0" xfId="0" applyFont="1" applyFill="1" applyAlignment="1" applyProtection="1">
      <alignment/>
      <protection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2" fontId="32" fillId="6" borderId="0" xfId="0" applyNumberFormat="1" applyFont="1" applyFill="1" applyAlignment="1">
      <alignment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8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1" fillId="38" borderId="14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 vertical="top" wrapText="1"/>
      <protection/>
    </xf>
    <xf numFmtId="0" fontId="83" fillId="38" borderId="0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0" fontId="84" fillId="38" borderId="15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47" applyNumberFormat="1" applyFont="1" applyBorder="1" applyAlignment="1">
      <alignment horizontal="center"/>
      <protection/>
    </xf>
    <xf numFmtId="4" fontId="41" fillId="0" borderId="0" xfId="0" applyNumberFormat="1" applyFont="1" applyBorder="1" applyAlignment="1">
      <alignment/>
    </xf>
    <xf numFmtId="199" fontId="41" fillId="0" borderId="0" xfId="0" applyNumberFormat="1" applyFont="1" applyBorder="1" applyAlignment="1">
      <alignment horizontal="left" vertical="top"/>
    </xf>
    <xf numFmtId="4" fontId="4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199" fontId="42" fillId="0" borderId="0" xfId="0" applyNumberFormat="1" applyFont="1" applyBorder="1" applyAlignment="1">
      <alignment horizontal="left" vertical="top"/>
    </xf>
    <xf numFmtId="2" fontId="7" fillId="0" borderId="0" xfId="0" applyNumberFormat="1" applyFont="1" applyAlignment="1" quotePrefix="1">
      <alignment/>
    </xf>
    <xf numFmtId="2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2" fontId="32" fillId="6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7" fillId="33" borderId="11" xfId="0" applyFont="1" applyFill="1" applyBorder="1" applyAlignment="1" applyProtection="1">
      <alignment wrapText="1"/>
      <protection/>
    </xf>
    <xf numFmtId="0" fontId="37" fillId="33" borderId="0" xfId="0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wrapText="1"/>
      <protection/>
    </xf>
    <xf numFmtId="0" fontId="37" fillId="33" borderId="16" xfId="0" applyFont="1" applyFill="1" applyBorder="1" applyAlignment="1" applyProtection="1">
      <alignment wrapText="1"/>
      <protection/>
    </xf>
    <xf numFmtId="0" fontId="38" fillId="0" borderId="16" xfId="0" applyFont="1" applyBorder="1" applyAlignment="1" applyProtection="1">
      <alignment wrapText="1"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vertical="top" wrapText="1"/>
      <protection/>
    </xf>
    <xf numFmtId="0" fontId="34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37" fillId="33" borderId="11" xfId="0" applyFont="1" applyFill="1" applyBorder="1" applyAlignment="1" applyProtection="1">
      <alignment vertical="top" wrapText="1"/>
      <protection/>
    </xf>
    <xf numFmtId="0" fontId="38" fillId="0" borderId="12" xfId="0" applyFont="1" applyBorder="1" applyAlignment="1" applyProtection="1">
      <alignment wrapText="1"/>
      <protection/>
    </xf>
    <xf numFmtId="0" fontId="38" fillId="0" borderId="11" xfId="0" applyFont="1" applyBorder="1" applyAlignment="1" applyProtection="1">
      <alignment wrapText="1"/>
      <protection/>
    </xf>
    <xf numFmtId="0" fontId="38" fillId="0" borderId="17" xfId="0" applyFont="1" applyBorder="1" applyAlignment="1" applyProtection="1">
      <alignment wrapText="1"/>
      <protection/>
    </xf>
    <xf numFmtId="0" fontId="38" fillId="0" borderId="18" xfId="0" applyFont="1" applyBorder="1" applyAlignment="1" applyProtection="1">
      <alignment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2" fontId="16" fillId="33" borderId="19" xfId="0" applyNumberFormat="1" applyFont="1" applyFill="1" applyBorder="1" applyAlignment="1" applyProtection="1">
      <alignment horizontal="left" vertical="top" wrapText="1"/>
      <protection/>
    </xf>
    <xf numFmtId="2" fontId="16" fillId="33" borderId="15" xfId="0" applyNumberFormat="1" applyFont="1" applyFill="1" applyBorder="1" applyAlignment="1" applyProtection="1">
      <alignment horizontal="left" vertical="top" wrapText="1"/>
      <protection/>
    </xf>
    <xf numFmtId="2" fontId="16" fillId="33" borderId="11" xfId="0" applyNumberFormat="1" applyFont="1" applyFill="1" applyBorder="1" applyAlignment="1" applyProtection="1">
      <alignment horizontal="left" vertical="top" wrapText="1"/>
      <protection/>
    </xf>
    <xf numFmtId="2" fontId="16" fillId="33" borderId="12" xfId="0" applyNumberFormat="1" applyFont="1" applyFill="1" applyBorder="1" applyAlignment="1" applyProtection="1">
      <alignment horizontal="left" vertical="top" wrapText="1"/>
      <protection/>
    </xf>
    <xf numFmtId="0" fontId="29" fillId="37" borderId="11" xfId="0" applyFont="1" applyFill="1" applyBorder="1" applyAlignment="1" applyProtection="1">
      <alignment horizontal="left" vertical="top" wrapText="1"/>
      <protection/>
    </xf>
    <xf numFmtId="0" fontId="29" fillId="37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2" fontId="37" fillId="33" borderId="17" xfId="0" applyNumberFormat="1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19" fillId="33" borderId="12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X11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421875" style="31" customWidth="1"/>
    <col min="4" max="4" width="11.8515625" style="31" customWidth="1"/>
    <col min="5" max="5" width="0.9921875" style="31" customWidth="1"/>
    <col min="6" max="6" width="7.421875" style="31" customWidth="1"/>
    <col min="7" max="7" width="8.57421875" style="31" customWidth="1"/>
    <col min="8" max="8" width="0.562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421875" style="31" customWidth="1"/>
    <col min="13" max="13" width="9.421875" style="31" customWidth="1"/>
    <col min="14" max="14" width="0.85546875" style="34" customWidth="1"/>
    <col min="15" max="24" width="9.140625" style="34" customWidth="1"/>
    <col min="25" max="16384" width="9.140625" style="31" customWidth="1"/>
  </cols>
  <sheetData>
    <row r="1" spans="1:13" ht="15.75" customHeight="1" thickBot="1">
      <c r="A1" s="137" t="s">
        <v>510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 t="s">
        <v>459</v>
      </c>
      <c r="M1" s="47"/>
    </row>
    <row r="2" spans="1:13" ht="2.25" customHeight="1" hidden="1" thickBot="1">
      <c r="A2" s="89"/>
      <c r="B2" s="48"/>
      <c r="C2" s="48"/>
      <c r="D2" s="48"/>
      <c r="E2" s="65"/>
      <c r="F2" s="65"/>
      <c r="G2" s="65"/>
      <c r="H2" s="65"/>
      <c r="I2" s="65"/>
      <c r="J2" s="65"/>
      <c r="K2" s="65"/>
      <c r="L2" s="65"/>
      <c r="M2" s="76"/>
    </row>
    <row r="3" spans="1:13" ht="12.75" customHeight="1">
      <c r="A3" s="90" t="s">
        <v>76</v>
      </c>
      <c r="B3" s="73" t="s">
        <v>232</v>
      </c>
      <c r="C3" s="168"/>
      <c r="D3" s="56"/>
      <c r="E3" s="55" t="s">
        <v>86</v>
      </c>
      <c r="F3" s="175"/>
      <c r="G3" s="216"/>
      <c r="H3" s="213" t="s">
        <v>88</v>
      </c>
      <c r="I3" s="53"/>
      <c r="J3" s="110"/>
      <c r="K3" s="265" t="s">
        <v>112</v>
      </c>
      <c r="L3" s="266"/>
      <c r="M3" s="267"/>
    </row>
    <row r="4" spans="1:13" ht="13.5" customHeight="1">
      <c r="A4" s="29"/>
      <c r="B4" s="72" t="str">
        <f>IF(virheet!I10&lt;1,"2. Valitse kalleusluokka:","Älä täytä")</f>
        <v>2. Valitse kalleusluokka:</v>
      </c>
      <c r="C4" s="172"/>
      <c r="D4" s="133"/>
      <c r="E4" s="106" t="s">
        <v>87</v>
      </c>
      <c r="F4" s="37"/>
      <c r="G4" s="38"/>
      <c r="H4" s="106" t="s">
        <v>89</v>
      </c>
      <c r="I4" s="37"/>
      <c r="J4" s="38"/>
      <c r="K4" s="268" t="str">
        <f>IF(virheet!I10&lt;1," 8. Valitse siihen oikeuttava aika:","Älä täytä")</f>
        <v> 8. Valitse siihen oikeuttava aika:</v>
      </c>
      <c r="L4" s="269"/>
      <c r="M4" s="270"/>
    </row>
    <row r="5" spans="1:13" ht="13.5" customHeight="1" thickBot="1">
      <c r="A5" s="29"/>
      <c r="B5" s="42"/>
      <c r="C5" s="33"/>
      <c r="D5" s="133"/>
      <c r="E5" s="107"/>
      <c r="F5" s="102" t="str">
        <f>IF(virheet!I10&lt;1,"4. Syötä palkka:","Älä täytä")</f>
        <v>4. Syötä palkka:</v>
      </c>
      <c r="G5" s="217"/>
      <c r="H5" s="42"/>
      <c r="I5" s="268" t="str">
        <f>IF(virheet!I10&lt;1,IF(VLOOKUP(virheet!$A$10,virheet!$A$12:$F$127,6,FALSE)=0,"Ei täytetä valitulle opettajalle. Siirry kohtaan 8.","5. Syötä huojentamaton opetusvelvollisuus:"),"Älä täytä")</f>
        <v>Ei täytetä valitulle opettajalle. Siirry kohtaan 8.</v>
      </c>
      <c r="J5" s="270"/>
      <c r="K5" s="33"/>
      <c r="L5" s="96"/>
      <c r="M5" s="38"/>
    </row>
    <row r="6" spans="1:13" ht="13.5" customHeight="1" thickBot="1">
      <c r="A6" s="29"/>
      <c r="B6" s="94"/>
      <c r="C6" s="105"/>
      <c r="D6" s="32"/>
      <c r="E6" s="42"/>
      <c r="F6" s="27"/>
      <c r="G6" s="177" t="s">
        <v>16</v>
      </c>
      <c r="H6" s="42"/>
      <c r="I6" s="269"/>
      <c r="J6" s="270"/>
      <c r="K6" s="96"/>
      <c r="L6" s="96"/>
      <c r="M6" s="38"/>
    </row>
    <row r="7" spans="1:13" ht="13.5" customHeight="1" thickBot="1">
      <c r="A7" s="29"/>
      <c r="B7" s="281" t="str">
        <f>IF(virheet!I10&lt;1,"Onko epäpätevyyden perusteella alennettu peruspalkka?","Älä täytä")</f>
        <v>Onko epäpätevyyden perusteella alennettu peruspalkka?</v>
      </c>
      <c r="C7" s="282"/>
      <c r="D7" s="283"/>
      <c r="E7" s="218"/>
      <c r="F7" s="101" t="str">
        <f>IF(COUNTA(F6)=0,"hyväksy 'Enterillä'","")</f>
        <v>hyväksy 'Enterillä'</v>
      </c>
      <c r="G7" s="38"/>
      <c r="H7" s="42"/>
      <c r="I7" s="269"/>
      <c r="J7" s="270"/>
      <c r="K7" s="40"/>
      <c r="L7" s="40"/>
      <c r="M7" s="38"/>
    </row>
    <row r="8" spans="1:24" ht="13.5" customHeight="1" thickBot="1">
      <c r="A8" s="29"/>
      <c r="B8" s="284"/>
      <c r="C8" s="285"/>
      <c r="D8" s="283"/>
      <c r="E8" s="274" t="str">
        <f>IF(virheet!I10&lt;1,IF(virheet!A2=1,virheet!B2," ")," ")</f>
        <v> </v>
      </c>
      <c r="F8" s="261"/>
      <c r="G8" s="275"/>
      <c r="H8" s="43">
        <v>2</v>
      </c>
      <c r="I8" s="28"/>
      <c r="J8" s="166" t="s">
        <v>105</v>
      </c>
      <c r="K8" s="108"/>
      <c r="L8" s="77"/>
      <c r="M8" s="38"/>
      <c r="W8" s="31"/>
      <c r="X8" s="31"/>
    </row>
    <row r="9" spans="1:13" ht="10.5" customHeight="1" thickBot="1">
      <c r="A9" s="29"/>
      <c r="B9" s="95"/>
      <c r="C9" s="132"/>
      <c r="D9" s="299" t="str">
        <f>IF(virheet!$G$10*'muut muuttujat'!$G$3=1,"Pakollinen valinta: Valitse 'On' !"," ")</f>
        <v> </v>
      </c>
      <c r="E9" s="276"/>
      <c r="F9" s="261"/>
      <c r="G9" s="275"/>
      <c r="H9" s="107"/>
      <c r="I9" s="101" t="str">
        <f>IF(virheet!F10=0," ",IF(COUNTA(I8)=0,"hyväksy 'Enterillä'",""))</f>
        <v> </v>
      </c>
      <c r="J9" s="38"/>
      <c r="K9" s="54"/>
      <c r="L9" s="58"/>
      <c r="M9" s="52"/>
    </row>
    <row r="10" spans="1:13" ht="14.25" customHeight="1">
      <c r="A10" s="29"/>
      <c r="B10" s="42"/>
      <c r="C10" s="33"/>
      <c r="D10" s="300"/>
      <c r="E10" s="276"/>
      <c r="F10" s="261"/>
      <c r="G10" s="275"/>
      <c r="H10" s="107"/>
      <c r="I10" s="39"/>
      <c r="J10" s="39"/>
      <c r="K10" s="73" t="s">
        <v>168</v>
      </c>
      <c r="L10" s="41"/>
      <c r="M10" s="44"/>
    </row>
    <row r="11" spans="1:13" ht="12.75" customHeight="1" thickBot="1">
      <c r="A11" s="29"/>
      <c r="B11" s="286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287"/>
      <c r="D11" s="288"/>
      <c r="E11" s="277"/>
      <c r="F11" s="264"/>
      <c r="G11" s="278"/>
      <c r="H11" s="78"/>
      <c r="I11" s="74"/>
      <c r="J11" s="74"/>
      <c r="K11" s="271" t="s">
        <v>173</v>
      </c>
      <c r="L11" s="272"/>
      <c r="M11" s="38"/>
    </row>
    <row r="12" spans="1:13" ht="13.5" customHeight="1" thickBot="1">
      <c r="A12" s="29"/>
      <c r="B12" s="286"/>
      <c r="C12" s="287"/>
      <c r="D12" s="289"/>
      <c r="E12" s="73" t="s">
        <v>156</v>
      </c>
      <c r="F12" s="199"/>
      <c r="G12" s="104"/>
      <c r="H12" s="104"/>
      <c r="I12" s="104"/>
      <c r="J12" s="56"/>
      <c r="K12" s="273"/>
      <c r="L12" s="272"/>
      <c r="M12" s="38"/>
    </row>
    <row r="13" spans="1:13" ht="14.25" customHeight="1" thickBot="1">
      <c r="A13" s="29"/>
      <c r="B13" s="27"/>
      <c r="C13" s="205">
        <f>IF(virheet!I10&lt;1,IF('muut muuttujat'!G3=2,"e/kk","")," ")</f>
      </c>
      <c r="D13" s="205"/>
      <c r="E13" s="206"/>
      <c r="F13" s="102" t="str">
        <f>IF(virheet!I10&lt;1,IF(VLOOKUP(virheet!$A$10,virheet!$A$12:$F$127,6,FALSE)=0,"Ei täytetä valitulle opettajalle. Siirry kohtaan 8.","6. Syötä vuosiviikkoylituntien määrä:"),"Älä täytä")</f>
        <v>Ei täytetä valitulle opettajalle. Siirry kohtaan 8.</v>
      </c>
      <c r="G13" s="103"/>
      <c r="H13" s="39"/>
      <c r="I13" s="39"/>
      <c r="J13" s="38"/>
      <c r="K13" s="27"/>
      <c r="L13" s="165" t="s">
        <v>16</v>
      </c>
      <c r="M13" s="32"/>
    </row>
    <row r="14" spans="1:13" ht="14.25" customHeight="1" thickBot="1">
      <c r="A14" s="29"/>
      <c r="B14" s="82">
        <f>IF(virheet!I10&lt;1,IF(virheet!A6&gt;0,"",IF('muut muuttujat'!G3=1,"",IF(COUNTA(B13)=0,"hyväksy 'Enterillä'","")))," ")</f>
      </c>
      <c r="C14" s="101"/>
      <c r="D14" s="33"/>
      <c r="E14" s="207"/>
      <c r="F14" s="103"/>
      <c r="G14" s="103"/>
      <c r="H14" s="39"/>
      <c r="I14" s="28"/>
      <c r="J14" s="166" t="s">
        <v>105</v>
      </c>
      <c r="K14" s="82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259">
        <f>IF(virheet!I10&lt;1,IF('muut muuttujat'!G3=2,IF(virheet!A3=1,virheet!B3,""),"")," ")</f>
      </c>
      <c r="C15" s="260"/>
      <c r="D15" s="261"/>
      <c r="E15" s="42"/>
      <c r="F15" s="102" t="str">
        <f>IF(virheet!I10&lt;1,IF(VLOOKUP(virheet!$A$10,virheet!$A$12:$F$127,6,FALSE)=0,"Ei täytetä valitulle opettajalle. Siirry kohtaan 8.","7. Syötä kertaylituntien määrä:"),"Älä täytä")</f>
        <v>Ei täytetä valitulle opettajalle. Siirry kohtaan 8.</v>
      </c>
      <c r="G15" s="103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259"/>
      <c r="C16" s="260"/>
      <c r="D16" s="261"/>
      <c r="E16" s="42"/>
      <c r="F16" s="33"/>
      <c r="G16" s="33"/>
      <c r="H16" s="33"/>
      <c r="I16" s="28"/>
      <c r="J16" s="166" t="s">
        <v>106</v>
      </c>
      <c r="K16" s="43"/>
      <c r="L16" s="33"/>
      <c r="M16" s="32"/>
    </row>
    <row r="17" spans="1:13" ht="9.75" customHeight="1" thickBot="1">
      <c r="A17" s="29"/>
      <c r="B17" s="262"/>
      <c r="C17" s="263"/>
      <c r="D17" s="264"/>
      <c r="E17" s="121"/>
      <c r="F17" s="122"/>
      <c r="G17" s="122"/>
      <c r="H17" s="122"/>
      <c r="I17" s="54" t="str">
        <f>IF(virheet!F10=0," ",IF(COUNTA(I16)=0,"hyväksy 'Enterillä'",""))</f>
        <v> </v>
      </c>
      <c r="J17" s="75"/>
      <c r="K17" s="198"/>
      <c r="L17" s="122"/>
      <c r="M17" s="123"/>
    </row>
    <row r="18" spans="1:13" ht="39" customHeight="1" thickBot="1">
      <c r="A18" s="29"/>
      <c r="B18" s="290" t="str">
        <f>VLOOKUP(laskenta!$A$4,laskenta!$A$6:$B$121,2,FALSE)</f>
        <v>40301101 Peruskoulu -  Vuosiluokkia 1–6 käsittävän koulun rehtori, 12–23 palkkaperusteryhmää</v>
      </c>
      <c r="C18" s="291"/>
      <c r="D18" s="291"/>
      <c r="E18" s="291"/>
      <c r="F18" s="291"/>
      <c r="G18" s="291"/>
      <c r="H18" s="291"/>
      <c r="I18" s="291"/>
      <c r="J18" s="229" t="str">
        <f>IF(virheet!I10&gt;0,"SYÖTÄ ALLA PYYDETYT TIEDOT:"," ")</f>
        <v> </v>
      </c>
      <c r="K18" s="230"/>
      <c r="L18" s="231"/>
      <c r="M18" s="237" t="str">
        <f>IF(virheet!$I$10=0,"Älä täytä:"," ")</f>
        <v>Älä täytä:</v>
      </c>
    </row>
    <row r="19" spans="1:13" ht="13.5" customHeight="1" thickBot="1">
      <c r="A19" s="29"/>
      <c r="B19" s="303" t="s">
        <v>146</v>
      </c>
      <c r="C19" s="304"/>
      <c r="D19" s="304"/>
      <c r="E19" s="304"/>
      <c r="F19" s="304"/>
      <c r="G19" s="111">
        <f>IF(virheet!I10&lt;1,IF('muut muuttujat'!A3=1,VLOOKUP(laskenta!A4,laskenta!$A$6:$J$121,5,FALSE),VLOOKUP(laskenta!A4,laskenta!$A$6:$P$121,6,FALSE))," ")</f>
        <v>3916.97</v>
      </c>
      <c r="H19" s="112"/>
      <c r="I19" s="47" t="s">
        <v>16</v>
      </c>
      <c r="J19" s="232">
        <f>IF(virheet!I10=1,"Ei valita ko. opettajalla",IF(virheet!I10=2,"1.  Määrävuosikorotukseen oikeuttava aika",""))</f>
      </c>
      <c r="K19" s="233"/>
      <c r="L19" s="234"/>
      <c r="M19" s="225"/>
    </row>
    <row r="20" spans="1:13" ht="13.5" customHeight="1" thickBot="1">
      <c r="A20" s="29"/>
      <c r="B20" s="113" t="s">
        <v>108</v>
      </c>
      <c r="C20" s="173"/>
      <c r="D20" s="114"/>
      <c r="E20" s="79"/>
      <c r="F20" s="79"/>
      <c r="G20" s="115">
        <f>IF(virheet!I10&lt;1,IF(F6=0,"",F6)," ")</f>
      </c>
      <c r="H20" s="116"/>
      <c r="I20" s="117" t="s">
        <v>16</v>
      </c>
      <c r="J20" s="235" t="str">
        <f>IF(virheet!I10=1,"Ei täytetä ko. opettajalle",IF(virheet!I10=2,"2. Syötä kelpoisuuden mukaan tuleva korotus-%:"," "))</f>
        <v> </v>
      </c>
      <c r="K20" s="233"/>
      <c r="L20" s="234"/>
      <c r="M20" s="220"/>
    </row>
    <row r="21" spans="1:13" ht="13.5" customHeight="1" thickBot="1">
      <c r="A21" s="29"/>
      <c r="B21" s="80" t="s">
        <v>107</v>
      </c>
      <c r="C21" s="70"/>
      <c r="D21" s="70"/>
      <c r="E21" s="65"/>
      <c r="F21" s="65"/>
      <c r="G21" s="71">
        <f>IF(virheet!I10&lt;1,IF(G19="epäpät %"," ",IF(G19=0," ",IF(G19="% rehtorista","",ROUND(VLOOKUP(laskenta!$A$4,laskenta!$A$6:$AC$121,23+'muut muuttujat'!J3,FALSE)*G19-G19,2))))," ")</f>
        <v>0</v>
      </c>
      <c r="H21" s="69"/>
      <c r="I21" s="118" t="s">
        <v>16</v>
      </c>
      <c r="J21" s="236" t="str">
        <f>IF(virheet!I10&gt;0,"3. Syötä tuntien määrä kuukaudessa:"," ")</f>
        <v> </v>
      </c>
      <c r="K21" s="233"/>
      <c r="L21" s="233"/>
      <c r="M21" s="221"/>
    </row>
    <row r="22" spans="1:13" ht="13.5" customHeight="1" thickBot="1">
      <c r="A22" s="29"/>
      <c r="B22" s="81" t="s">
        <v>145</v>
      </c>
      <c r="C22" s="35"/>
      <c r="D22" s="35"/>
      <c r="E22" s="35"/>
      <c r="F22" s="279" t="str">
        <f>IF(virheet!I10&lt;1,IF(L23=" "," ",IF(virheet!$F$10=0,"eivät mahdollisia",ROUND(I14*L23,2)))," ")</f>
        <v> </v>
      </c>
      <c r="G22" s="280"/>
      <c r="H22" s="69"/>
      <c r="I22" s="118" t="str">
        <f>IF(virheet!I10&lt;1,CONCATENATE("e/kk"," ","(",I14," ","kpl",")")," ")</f>
        <v>e/kk ( kpl)</v>
      </c>
      <c r="J22" s="188" t="s">
        <v>153</v>
      </c>
      <c r="K22" s="189"/>
      <c r="L22" s="209" t="str">
        <f>IF(virheet!I10&gt;0,VLOOKUP(laskenta!A4,laskenta!$A$6:$Q$121,17,FALSE)," ")</f>
        <v> </v>
      </c>
      <c r="M22" s="190" t="s">
        <v>113</v>
      </c>
    </row>
    <row r="23" spans="1:13" ht="13.5" customHeight="1">
      <c r="A23" s="29"/>
      <c r="B23" s="81" t="s">
        <v>176</v>
      </c>
      <c r="C23" s="35"/>
      <c r="D23" s="35"/>
      <c r="E23" s="35"/>
      <c r="F23" s="279" t="str">
        <f>IF(virheet!I10&lt;1,IF(L24=" "," ",IF(virheet!$F$10=0,"eivät mahdollisia",ROUND(I16*L24,2))),ROUND(KÄYTTÖTAULU!L22*KÄYTTÖTAULU!M21,2))</f>
        <v> </v>
      </c>
      <c r="G23" s="280"/>
      <c r="H23" s="69"/>
      <c r="I23" s="118" t="str">
        <f>CONCATENATE("e/kk"," ","(",IF(virheet!I10&lt;1,I16,KÄYTTÖTAULU!M21)," ","kpl",")")</f>
        <v>e/kk ( kpl)</v>
      </c>
      <c r="J23" s="210" t="s">
        <v>115</v>
      </c>
      <c r="K23" s="195"/>
      <c r="L23" s="196" t="str">
        <f>IF(virheet!I10=0,IF(I8*F6=0," ",IF(virheet!F10=0," ",IF('muut muuttujat'!A3=1,VLOOKUP(laskenta!A4,laskenta!$A$6:$P$121,11,FALSE),VLOOKUP(laskenta!A4,laskenta!$A$6:$P$121,12,FALSE))))," ")</f>
        <v> </v>
      </c>
      <c r="M23" s="197" t="s">
        <v>16</v>
      </c>
    </row>
    <row r="24" spans="1:13" ht="13.5" customHeight="1" thickBot="1">
      <c r="A24" s="29"/>
      <c r="B24" s="83" t="s">
        <v>175</v>
      </c>
      <c r="C24" s="66"/>
      <c r="D24" s="66"/>
      <c r="E24" s="65"/>
      <c r="F24" s="65"/>
      <c r="G24" s="71">
        <f>IF(COUNTA(K13)=0,"",K13)</f>
      </c>
      <c r="H24" s="65"/>
      <c r="I24" s="119" t="s">
        <v>16</v>
      </c>
      <c r="J24" s="211" t="s">
        <v>116</v>
      </c>
      <c r="K24" s="92"/>
      <c r="L24" s="194" t="str">
        <f>IF(virheet!I10=0,IF(I8*F6=0," ",IF(virheet!F10=0," ",IF('muut muuttujat'!A$3=1,VLOOKUP(laskenta!A$4,laskenta!$A$6:$P$121,13,FALSE),VLOOKUP(laskenta!A$4,laskenta!$A$6:$P$121,14,FALSE))))," ")</f>
        <v> </v>
      </c>
      <c r="M24" s="91" t="s">
        <v>113</v>
      </c>
    </row>
    <row r="25" spans="1:13" ht="12.75" customHeight="1" thickBot="1">
      <c r="A25" s="57"/>
      <c r="B25" s="68" t="s">
        <v>109</v>
      </c>
      <c r="C25" s="138"/>
      <c r="D25" s="67"/>
      <c r="E25" s="67"/>
      <c r="F25" s="67"/>
      <c r="G25" s="84" t="str">
        <f>IF(F6=0," ",SUM(F20:G24))</f>
        <v> </v>
      </c>
      <c r="H25" s="85"/>
      <c r="I25" s="120" t="s">
        <v>16</v>
      </c>
      <c r="J25" s="212" t="s">
        <v>114</v>
      </c>
      <c r="K25" s="204"/>
      <c r="L25" s="193" t="str">
        <f>IF(virheet!H10=0," ",IF(I8=0," ",IF(virheet!F10=0,"",IF('muut muuttujat'!A$3=1,VLOOKUP(laskenta!A$4,laskenta!$A$6:$P$121,15,FALSE),VLOOKUP(laskenta!A$4,laskenta!$A$6:$P$121,16,FALSE)))))</f>
        <v> </v>
      </c>
      <c r="M25" s="88" t="s">
        <v>113</v>
      </c>
    </row>
    <row r="26" spans="1:13" ht="16.5" customHeight="1" thickBot="1">
      <c r="A26" s="139"/>
      <c r="B26" s="200"/>
      <c r="C26" s="200"/>
      <c r="D26" s="201"/>
      <c r="E26" s="201"/>
      <c r="F26" s="201"/>
      <c r="G26" s="202"/>
      <c r="H26" s="203"/>
      <c r="I26" s="200"/>
      <c r="J26" s="140"/>
      <c r="K26" s="141"/>
      <c r="L26" s="142"/>
      <c r="M26" s="143"/>
    </row>
    <row r="27" spans="1:13" ht="13.5" customHeight="1" thickBot="1">
      <c r="A27" s="134" t="s">
        <v>333</v>
      </c>
      <c r="B27" s="135"/>
      <c r="C27" s="135"/>
      <c r="D27" s="135"/>
      <c r="E27" s="67"/>
      <c r="F27" s="67"/>
      <c r="G27" s="67"/>
      <c r="H27" s="67"/>
      <c r="I27" s="67"/>
      <c r="J27" s="67"/>
      <c r="K27" s="67"/>
      <c r="L27" s="67"/>
      <c r="M27" s="136"/>
    </row>
    <row r="28" spans="1:13" ht="13.5" customHeight="1">
      <c r="A28" s="180" t="s">
        <v>76</v>
      </c>
      <c r="B28" s="214" t="s">
        <v>154</v>
      </c>
      <c r="C28" s="168"/>
      <c r="D28" s="144"/>
      <c r="E28" s="265" t="s">
        <v>155</v>
      </c>
      <c r="F28" s="266"/>
      <c r="G28" s="267"/>
      <c r="H28" s="213" t="s">
        <v>165</v>
      </c>
      <c r="I28" s="109"/>
      <c r="J28" s="170"/>
      <c r="K28" s="170"/>
      <c r="L28" s="104"/>
      <c r="M28" s="56"/>
    </row>
    <row r="29" spans="1:13" ht="13.5" customHeight="1">
      <c r="A29" s="181"/>
      <c r="B29" s="172" t="s">
        <v>75</v>
      </c>
      <c r="C29" s="172"/>
      <c r="D29" s="133"/>
      <c r="E29" s="268" t="s">
        <v>221</v>
      </c>
      <c r="F29" s="269"/>
      <c r="G29" s="270"/>
      <c r="H29" s="163"/>
      <c r="I29" s="102" t="s">
        <v>357</v>
      </c>
      <c r="J29" s="103"/>
      <c r="K29" s="103"/>
      <c r="L29" s="93"/>
      <c r="M29" s="166" t="s">
        <v>106</v>
      </c>
    </row>
    <row r="30" spans="1:13" ht="12" customHeight="1">
      <c r="A30" s="181"/>
      <c r="B30" s="172"/>
      <c r="C30" s="172"/>
      <c r="D30" s="133"/>
      <c r="E30" s="125"/>
      <c r="F30" s="96"/>
      <c r="G30" s="186"/>
      <c r="H30" s="163"/>
      <c r="I30" s="102" t="s">
        <v>360</v>
      </c>
      <c r="J30" s="103"/>
      <c r="K30" s="103"/>
      <c r="L30" s="93"/>
      <c r="M30" s="166" t="s">
        <v>106</v>
      </c>
    </row>
    <row r="31" spans="1:13" ht="12.75">
      <c r="A31" s="181"/>
      <c r="B31" s="105"/>
      <c r="C31" s="105"/>
      <c r="D31" s="133"/>
      <c r="E31" s="33"/>
      <c r="F31" s="33"/>
      <c r="G31" s="32"/>
      <c r="H31" s="42"/>
      <c r="I31" s="305" t="s">
        <v>363</v>
      </c>
      <c r="J31" s="305"/>
      <c r="K31" s="306"/>
      <c r="L31" s="93"/>
      <c r="M31" s="166" t="s">
        <v>106</v>
      </c>
    </row>
    <row r="32" spans="1:13" ht="17.25" customHeight="1">
      <c r="A32" s="181"/>
      <c r="B32" s="105"/>
      <c r="C32" s="105"/>
      <c r="D32" s="133"/>
      <c r="E32" s="33"/>
      <c r="F32" s="33"/>
      <c r="G32" s="32"/>
      <c r="H32" s="296" t="str">
        <f>VLOOKUP('vuosityö ja aikk laskenta'!A4,'vuosityö ja aikk laskenta'!$A$5:$B$17,2,FALSE)</f>
        <v>41103003 Opinto-ohjaaja/ylempi korkeakoulututkinto ja ylempi ammattikorkeakoulututkinto</v>
      </c>
      <c r="I32" s="297"/>
      <c r="J32" s="297"/>
      <c r="K32" s="297"/>
      <c r="L32" s="297"/>
      <c r="M32" s="298"/>
    </row>
    <row r="33" spans="1:13" ht="13.5" customHeight="1" thickBot="1">
      <c r="A33" s="181"/>
      <c r="B33" s="33"/>
      <c r="C33" s="33"/>
      <c r="D33" s="133"/>
      <c r="E33" s="33"/>
      <c r="F33" s="33"/>
      <c r="G33" s="33"/>
      <c r="H33" s="296"/>
      <c r="I33" s="297"/>
      <c r="J33" s="297"/>
      <c r="K33" s="297"/>
      <c r="L33" s="297"/>
      <c r="M33" s="298"/>
    </row>
    <row r="34" spans="1:15" ht="13.5" customHeight="1" thickBot="1">
      <c r="A34" s="181"/>
      <c r="B34" s="174" t="s">
        <v>233</v>
      </c>
      <c r="C34" s="174"/>
      <c r="D34" s="133"/>
      <c r="E34" s="33"/>
      <c r="F34" s="33"/>
      <c r="G34" s="33"/>
      <c r="H34" s="178"/>
      <c r="I34" s="159" t="s">
        <v>346</v>
      </c>
      <c r="J34" s="160"/>
      <c r="K34" s="160"/>
      <c r="L34" s="111">
        <f>ROUND(VLOOKUP('vuosityö ja aikk laskenta'!$A$4,'vuosityö ja aikk laskenta'!$A$5:$N$14,IF('vuosityö ja aikk laskenta'!A19=1,2+'vuosityö ja aikk laskenta'!A24,8+'vuosityö ja aikk laskenta'!A24),FALSE)*(1-B35/100),2)</f>
        <v>3586.66</v>
      </c>
      <c r="M34" s="164" t="s">
        <v>16</v>
      </c>
      <c r="O34" s="223"/>
    </row>
    <row r="35" spans="1:13" ht="13.5" customHeight="1" thickBot="1">
      <c r="A35" s="181"/>
      <c r="B35" s="222"/>
      <c r="C35" s="176" t="s">
        <v>166</v>
      </c>
      <c r="D35" s="167"/>
      <c r="E35" s="33"/>
      <c r="F35" s="33"/>
      <c r="G35" s="33"/>
      <c r="H35" s="178"/>
      <c r="I35" s="161" t="s">
        <v>157</v>
      </c>
      <c r="J35" s="146"/>
      <c r="K35" s="147"/>
      <c r="L35" s="115" t="str">
        <f>IF(B39=0," ",B39)</f>
        <v> </v>
      </c>
      <c r="M35" s="148" t="s">
        <v>16</v>
      </c>
    </row>
    <row r="36" spans="1:13" ht="13.5" customHeight="1">
      <c r="A36" s="181"/>
      <c r="B36" s="292" t="s">
        <v>359</v>
      </c>
      <c r="C36" s="293"/>
      <c r="D36" s="215" t="s">
        <v>222</v>
      </c>
      <c r="E36" s="104"/>
      <c r="F36" s="171"/>
      <c r="G36" s="56"/>
      <c r="H36" s="178"/>
      <c r="I36" s="162" t="s">
        <v>355</v>
      </c>
      <c r="J36" s="151"/>
      <c r="K36" s="151"/>
      <c r="L36" s="224" t="str">
        <f>IF(L29=0," ",ROUND(ROUND(($B$39+$F$38)/125,2)*L29,2))</f>
        <v> </v>
      </c>
      <c r="M36" s="118" t="s">
        <v>16</v>
      </c>
    </row>
    <row r="37" spans="1:13" ht="13.5" customHeight="1" thickBot="1">
      <c r="A37" s="181"/>
      <c r="B37" s="294"/>
      <c r="C37" s="295"/>
      <c r="D37" s="163" t="s">
        <v>171</v>
      </c>
      <c r="E37" s="102"/>
      <c r="F37" s="102"/>
      <c r="G37" s="32"/>
      <c r="H37" s="178"/>
      <c r="I37" s="162" t="s">
        <v>356</v>
      </c>
      <c r="J37" s="151"/>
      <c r="K37" s="151"/>
      <c r="L37" s="224" t="str">
        <f>IF(L30=0," ",ROUND(ROUND(ROUND(($B$39+$F$38)/125,2)*1.5,2)*L30,2))</f>
        <v> </v>
      </c>
      <c r="M37" s="118" t="s">
        <v>16</v>
      </c>
    </row>
    <row r="38" spans="1:13" ht="13.5" customHeight="1" thickBot="1">
      <c r="A38" s="181"/>
      <c r="B38" s="102" t="s">
        <v>167</v>
      </c>
      <c r="C38" s="102"/>
      <c r="D38" s="163" t="s">
        <v>172</v>
      </c>
      <c r="E38" s="102"/>
      <c r="F38" s="27"/>
      <c r="G38" s="177" t="s">
        <v>16</v>
      </c>
      <c r="H38" s="178"/>
      <c r="I38" s="162" t="s">
        <v>158</v>
      </c>
      <c r="J38" s="151"/>
      <c r="K38" s="151"/>
      <c r="L38" s="224" t="str">
        <f>IF(L31=0," ",ROUND(ROUND(ROUND(($B$39+$F$38)/125*0.5,2)*L31,2)*L30,2))</f>
        <v> </v>
      </c>
      <c r="M38" s="150" t="s">
        <v>16</v>
      </c>
    </row>
    <row r="39" spans="1:13" ht="13.5" customHeight="1" thickBot="1">
      <c r="A39" s="181"/>
      <c r="B39" s="27"/>
      <c r="C39" s="165" t="s">
        <v>16</v>
      </c>
      <c r="D39" s="163" t="s">
        <v>174</v>
      </c>
      <c r="E39" s="102"/>
      <c r="F39" s="102"/>
      <c r="G39" s="32"/>
      <c r="H39" s="178"/>
      <c r="I39" s="152" t="s">
        <v>223</v>
      </c>
      <c r="J39" s="153"/>
      <c r="K39" s="149"/>
      <c r="L39" s="187" t="str">
        <f>IF(F38+F40=0," ",F40+F38)</f>
        <v> </v>
      </c>
      <c r="M39" s="154" t="s">
        <v>16</v>
      </c>
    </row>
    <row r="40" spans="1:13" ht="13.5" customHeight="1" thickBot="1">
      <c r="A40" s="182"/>
      <c r="B40" s="301" t="str">
        <f>IF(B39=0," ",IF(B39&lt;L34,"Liian alhainen!"," "))</f>
        <v> </v>
      </c>
      <c r="C40" s="302"/>
      <c r="D40" s="184" t="s">
        <v>172</v>
      </c>
      <c r="E40" s="169"/>
      <c r="F40" s="27"/>
      <c r="G40" s="185" t="s">
        <v>16</v>
      </c>
      <c r="H40" s="179"/>
      <c r="I40" s="155" t="s">
        <v>109</v>
      </c>
      <c r="J40" s="156"/>
      <c r="K40" s="156"/>
      <c r="L40" s="157" t="str">
        <f>IF(B39=0," ",SUM(L35:L39))</f>
        <v> </v>
      </c>
      <c r="M40" s="158" t="s">
        <v>16</v>
      </c>
    </row>
    <row r="41" spans="1:13" ht="12.75" customHeight="1">
      <c r="A41" s="30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2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W48" s="31"/>
      <c r="X48" s="31"/>
    </row>
    <row r="49" spans="1:17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39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3" ht="12.75">
      <c r="A69" s="30"/>
      <c r="B69" s="36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.75">
      <c r="A70" s="30"/>
      <c r="B70" s="36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.75">
      <c r="A71" s="30"/>
      <c r="B71" s="36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>
      <c r="A72" s="30"/>
      <c r="B72" s="36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.75">
      <c r="A73" s="30"/>
      <c r="B73" s="36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30"/>
      <c r="B74" s="36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.75">
      <c r="A75" s="30"/>
      <c r="B75" s="36"/>
      <c r="C75" s="36"/>
      <c r="D75" s="36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</sheetData>
  <sheetProtection sheet="1" selectLockedCells="1"/>
  <protectedRanges>
    <protectedRange password="CD44" sqref="I8 I48" name="sy?tt?3"/>
    <protectedRange password="CD64" sqref="F6 K8 K13 F46 K48 K53" name="sy?tt?2"/>
    <protectedRange password="CD04" sqref="B13 B53" name="sy?tt?1"/>
  </protectedRanges>
  <mergeCells count="19">
    <mergeCell ref="B36:C37"/>
    <mergeCell ref="H32:M33"/>
    <mergeCell ref="I5:J7"/>
    <mergeCell ref="D9:D10"/>
    <mergeCell ref="B40:C40"/>
    <mergeCell ref="B19:F19"/>
    <mergeCell ref="F22:G22"/>
    <mergeCell ref="E28:G28"/>
    <mergeCell ref="E29:G29"/>
    <mergeCell ref="I31:K31"/>
    <mergeCell ref="B15:D17"/>
    <mergeCell ref="K3:M3"/>
    <mergeCell ref="K4:M4"/>
    <mergeCell ref="K11:L12"/>
    <mergeCell ref="E8:G11"/>
    <mergeCell ref="F23:G23"/>
    <mergeCell ref="B7:D8"/>
    <mergeCell ref="B11:D12"/>
    <mergeCell ref="B18:I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N15"/>
  <sheetViews>
    <sheetView zoomScalePageLayoutView="0" workbookViewId="0" topLeftCell="A1">
      <selection activeCell="M7" sqref="M7:N9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3.5" thickBot="1"/>
    <row r="3" spans="1:14" ht="13.5" thickBot="1">
      <c r="A3" s="26">
        <v>1</v>
      </c>
      <c r="B3" s="1" t="s">
        <v>0</v>
      </c>
      <c r="C3" s="3">
        <v>2</v>
      </c>
      <c r="D3" s="1" t="s">
        <v>6</v>
      </c>
      <c r="G3" s="3">
        <v>1</v>
      </c>
      <c r="H3" s="1" t="s">
        <v>82</v>
      </c>
      <c r="J3" s="3">
        <v>1</v>
      </c>
      <c r="K3" s="1" t="s">
        <v>97</v>
      </c>
      <c r="M3" s="3">
        <v>2</v>
      </c>
      <c r="N3" s="1" t="s">
        <v>509</v>
      </c>
    </row>
    <row r="4" spans="1:14" ht="12.75">
      <c r="A4" s="1">
        <v>1</v>
      </c>
      <c r="B4" s="1" t="s">
        <v>2</v>
      </c>
      <c r="C4" s="1">
        <v>1</v>
      </c>
      <c r="D4" s="1" t="s">
        <v>7</v>
      </c>
      <c r="G4" s="1">
        <v>1</v>
      </c>
      <c r="H4" s="1" t="s">
        <v>11</v>
      </c>
      <c r="J4" s="1">
        <v>1</v>
      </c>
      <c r="K4" s="1" t="s">
        <v>104</v>
      </c>
      <c r="M4" s="1">
        <v>1</v>
      </c>
      <c r="N4" s="1" t="s">
        <v>506</v>
      </c>
    </row>
    <row r="5" spans="1:14" ht="12.75">
      <c r="A5" s="1">
        <v>2</v>
      </c>
      <c r="B5" s="1" t="s">
        <v>3</v>
      </c>
      <c r="C5" s="1">
        <v>2</v>
      </c>
      <c r="D5" s="1" t="s">
        <v>8</v>
      </c>
      <c r="G5" s="1">
        <v>2</v>
      </c>
      <c r="H5" s="1" t="s">
        <v>74</v>
      </c>
      <c r="J5" s="1">
        <v>2</v>
      </c>
      <c r="K5" s="1" t="s">
        <v>98</v>
      </c>
      <c r="M5" s="1">
        <v>2</v>
      </c>
      <c r="N5" s="1" t="s">
        <v>507</v>
      </c>
    </row>
    <row r="6" spans="10:14" ht="12.75">
      <c r="J6" s="1">
        <v>3</v>
      </c>
      <c r="K6" s="1" t="s">
        <v>99</v>
      </c>
      <c r="M6" s="1">
        <v>3</v>
      </c>
      <c r="N6" s="1" t="s">
        <v>99</v>
      </c>
    </row>
    <row r="7" spans="7:11" ht="12.75">
      <c r="G7" s="1">
        <f>IF(KÄYTTÖTAULU!B13=0,0,1)</f>
        <v>0</v>
      </c>
      <c r="J7" s="1">
        <v>4</v>
      </c>
      <c r="K7" s="1" t="s">
        <v>100</v>
      </c>
    </row>
    <row r="8" spans="10:11" ht="12.75">
      <c r="J8" s="1">
        <v>5</v>
      </c>
      <c r="K8" s="1" t="s">
        <v>101</v>
      </c>
    </row>
    <row r="9" spans="10:11" ht="12.75">
      <c r="J9" s="1">
        <v>6</v>
      </c>
      <c r="K9" s="1" t="s">
        <v>102</v>
      </c>
    </row>
    <row r="11" ht="12.75">
      <c r="A11" s="1">
        <v>1</v>
      </c>
    </row>
    <row r="12" ht="12.75">
      <c r="B12" s="1" t="s">
        <v>506</v>
      </c>
    </row>
    <row r="13" ht="12.75">
      <c r="B13" s="1" t="s">
        <v>507</v>
      </c>
    </row>
    <row r="14" ht="12.75">
      <c r="B14" s="1" t="s">
        <v>98</v>
      </c>
    </row>
    <row r="15" ht="12.75">
      <c r="B15" s="1" t="s">
        <v>508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1:L226"/>
  <sheetViews>
    <sheetView zoomScalePageLayoutView="0" workbookViewId="0" topLeftCell="A55">
      <selection activeCell="F120" sqref="F120"/>
    </sheetView>
  </sheetViews>
  <sheetFormatPr defaultColWidth="9.140625" defaultRowHeight="12.75"/>
  <cols>
    <col min="1" max="1" width="9.574218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</cols>
  <sheetData>
    <row r="1" spans="1:3" ht="12.75">
      <c r="A1" s="1" t="s">
        <v>81</v>
      </c>
      <c r="B1" s="3" t="s">
        <v>79</v>
      </c>
      <c r="C1" t="s">
        <v>110</v>
      </c>
    </row>
    <row r="2" spans="1:3" ht="12.75">
      <c r="A2" s="1">
        <f>IF(KÄYTTÖTAULU!F6=0,0,IF(KÄYTTÖTAULU!$F$6&lt;KÄYTTÖTAULU!$G$19,1,0))</f>
        <v>0</v>
      </c>
      <c r="B2" s="1" t="s">
        <v>78</v>
      </c>
      <c r="C2" t="str">
        <f>IF(A2=1,B2," ")</f>
        <v> </v>
      </c>
    </row>
    <row r="3" spans="1:3" ht="12.75">
      <c r="A3" s="1">
        <f>IF(A4=1,0,IF(KÄYTTÖTAULU!$B$13&gt;VLOOKUP(virheet!A10,laskenta!$A$6:$D$121,2+'muut muuttujat'!A3,FALSE),1,0))</f>
        <v>0</v>
      </c>
      <c r="B3" s="1" t="s">
        <v>150</v>
      </c>
      <c r="C3" t="str">
        <f>IF(A3=1,B3," ")</f>
        <v> </v>
      </c>
    </row>
    <row r="4" spans="1:3" ht="12.75">
      <c r="A4" s="1">
        <f>VLOOKUP(A10,$A$12:$E$126,5,FALSE)</f>
        <v>0</v>
      </c>
      <c r="B4" s="1" t="s">
        <v>151</v>
      </c>
      <c r="C4" t="str">
        <f>IF(A4=1,B4," ")</f>
        <v> </v>
      </c>
    </row>
    <row r="5" spans="1:3" ht="12.75">
      <c r="A5" s="1">
        <f>IF(KÄYTTÖTAULU!B13=0,0,IF(A4=1,0,IF(COUNTA(KÄYTTÖTAULU!B13)+'muut muuttujat'!G3=2,1,0)))</f>
        <v>0</v>
      </c>
      <c r="B5" s="1" t="s">
        <v>83</v>
      </c>
      <c r="C5" t="str">
        <f>IF(A5=1,B5," ")</f>
        <v> </v>
      </c>
    </row>
    <row r="6" spans="1:2" ht="12.75">
      <c r="A6" s="1">
        <f>SUM(A2:A5)</f>
        <v>0</v>
      </c>
      <c r="B6" s="1" t="s">
        <v>84</v>
      </c>
    </row>
    <row r="7" spans="1:3" ht="15.75">
      <c r="A7" s="87">
        <f>IF(KÄYTTÖTAULU!F6&gt;0,0,1)+IF(KÄYTTÖTAULU!I8&gt;0,0,1)+IF(COUNTA(KÄYTTÖTAULU!I14),0,1)+IF(COUNTA(KÄYTTÖTAULU!I16)&gt;0,0,1)+IF(COUNTA(KÄYTTÖTAULU!K13)&gt;0,0,1)+A6</f>
        <v>5</v>
      </c>
      <c r="B7" s="86" t="s">
        <v>111</v>
      </c>
      <c r="C7" t="str">
        <f>IF(A7=0,B7," ")</f>
        <v> </v>
      </c>
    </row>
    <row r="8" ht="51" customHeight="1"/>
    <row r="9" ht="13.5" thickBot="1">
      <c r="A9" s="1" t="s">
        <v>5</v>
      </c>
    </row>
    <row r="10" spans="1:10" ht="13.5" thickBot="1">
      <c r="A10" s="23">
        <f>laskenta!A4</f>
        <v>1</v>
      </c>
      <c r="B10" s="8" t="s">
        <v>1</v>
      </c>
      <c r="F10">
        <f>VLOOKUP(A10,$A$12:$F$127,6,FALSE)</f>
        <v>0</v>
      </c>
      <c r="G10">
        <f>VLOOKUP(A10,$A$12:$G$127,7,FALSE)</f>
        <v>0</v>
      </c>
      <c r="H10">
        <f>VLOOKUP($A$10,$A$12:$H$127,8,FALSE)</f>
        <v>0</v>
      </c>
      <c r="I10">
        <f>VLOOKUP($A$10,$A$12:$I$127,9,FALSE)</f>
        <v>0</v>
      </c>
      <c r="J10">
        <f>VLOOKUP($A$10,$A$12:$J$127,10,FALSE)</f>
        <v>0</v>
      </c>
    </row>
    <row r="11" spans="2:10" ht="12.75">
      <c r="B11" s="3" t="s">
        <v>4</v>
      </c>
      <c r="C11" t="s">
        <v>80</v>
      </c>
      <c r="D11" t="s">
        <v>77</v>
      </c>
      <c r="E11" t="s">
        <v>81</v>
      </c>
      <c r="F11" t="s">
        <v>147</v>
      </c>
      <c r="G11" t="s">
        <v>148</v>
      </c>
      <c r="H11" t="s">
        <v>149</v>
      </c>
      <c r="I11" t="s">
        <v>218</v>
      </c>
      <c r="J11" t="s">
        <v>219</v>
      </c>
    </row>
    <row r="12" spans="1:12" ht="12.75">
      <c r="A12" s="1">
        <v>1</v>
      </c>
      <c r="B12" s="10" t="s">
        <v>117</v>
      </c>
      <c r="C12">
        <f>IF('muut muuttujat'!$G$3=2,1,0)</f>
        <v>0</v>
      </c>
      <c r="E12">
        <f aca="true" t="shared" si="0" ref="E12:E85">IF(C12+D12&gt;1,1,0)</f>
        <v>0</v>
      </c>
      <c r="F12" s="10"/>
      <c r="K12" s="1"/>
      <c r="L12" s="10"/>
    </row>
    <row r="13" spans="1:12" ht="12.75">
      <c r="A13" s="1">
        <v>2</v>
      </c>
      <c r="B13" s="10" t="s">
        <v>118</v>
      </c>
      <c r="C13">
        <f>IF('muut muuttujat'!$G$3=2,1,0)</f>
        <v>0</v>
      </c>
      <c r="E13">
        <f t="shared" si="0"/>
        <v>0</v>
      </c>
      <c r="F13" s="10"/>
      <c r="K13" s="1"/>
      <c r="L13" s="10"/>
    </row>
    <row r="14" spans="1:12" ht="12.75">
      <c r="A14" s="1">
        <v>3</v>
      </c>
      <c r="B14" s="10" t="s">
        <v>353</v>
      </c>
      <c r="C14">
        <f>IF('muut muuttujat'!$G$3=2,1,0)</f>
        <v>0</v>
      </c>
      <c r="E14">
        <f t="shared" si="0"/>
        <v>0</v>
      </c>
      <c r="F14" s="10"/>
      <c r="K14" s="1"/>
      <c r="L14" s="10"/>
    </row>
    <row r="15" spans="1:12" ht="12.75">
      <c r="A15" s="1">
        <v>4</v>
      </c>
      <c r="B15" s="10" t="s">
        <v>352</v>
      </c>
      <c r="C15">
        <v>0</v>
      </c>
      <c r="E15">
        <v>0</v>
      </c>
      <c r="F15" s="10"/>
      <c r="K15" s="1"/>
      <c r="L15" s="10"/>
    </row>
    <row r="16" spans="1:12" ht="12.75">
      <c r="A16" s="1">
        <v>5</v>
      </c>
      <c r="B16" s="10" t="s">
        <v>119</v>
      </c>
      <c r="C16">
        <f>IF('muut muuttujat'!$G$3=2,1,0)</f>
        <v>0</v>
      </c>
      <c r="E16">
        <f t="shared" si="0"/>
        <v>0</v>
      </c>
      <c r="F16" s="10"/>
      <c r="K16" s="1"/>
      <c r="L16" s="10"/>
    </row>
    <row r="17" spans="1:12" ht="12.75">
      <c r="A17" s="1">
        <v>6</v>
      </c>
      <c r="B17" s="10" t="s">
        <v>120</v>
      </c>
      <c r="C17">
        <f>IF('muut muuttujat'!$G$3=2,1,0)</f>
        <v>0</v>
      </c>
      <c r="E17">
        <f t="shared" si="0"/>
        <v>0</v>
      </c>
      <c r="F17" s="10"/>
      <c r="K17" s="1"/>
      <c r="L17" s="10"/>
    </row>
    <row r="18" spans="1:12" ht="12.75">
      <c r="A18" s="1">
        <v>7</v>
      </c>
      <c r="B18" s="10" t="s">
        <v>121</v>
      </c>
      <c r="C18">
        <f>IF('muut muuttujat'!$G$3=2,1,0)</f>
        <v>0</v>
      </c>
      <c r="E18">
        <f t="shared" si="0"/>
        <v>0</v>
      </c>
      <c r="F18" s="10"/>
      <c r="K18" s="1"/>
      <c r="L18" s="10"/>
    </row>
    <row r="19" spans="1:12" ht="12.75">
      <c r="A19" s="1">
        <v>8</v>
      </c>
      <c r="B19" s="10" t="s">
        <v>354</v>
      </c>
      <c r="C19">
        <f>IF('muut muuttujat'!$G$3=2,1,0)</f>
        <v>0</v>
      </c>
      <c r="E19">
        <f t="shared" si="0"/>
        <v>0</v>
      </c>
      <c r="F19" s="10"/>
      <c r="K19" s="1"/>
      <c r="L19" s="10"/>
    </row>
    <row r="20" spans="1:12" ht="12.75">
      <c r="A20" s="1">
        <v>9</v>
      </c>
      <c r="B20" s="10" t="s">
        <v>486</v>
      </c>
      <c r="C20">
        <v>0</v>
      </c>
      <c r="E20">
        <v>0</v>
      </c>
      <c r="F20" s="10"/>
      <c r="K20" s="1"/>
      <c r="L20" s="10"/>
    </row>
    <row r="21" spans="1:12" ht="12.75">
      <c r="A21" s="1">
        <v>10</v>
      </c>
      <c r="B21" s="10" t="s">
        <v>485</v>
      </c>
      <c r="C21">
        <v>0</v>
      </c>
      <c r="E21">
        <v>0</v>
      </c>
      <c r="F21" s="10"/>
      <c r="K21" s="1"/>
      <c r="L21" s="10"/>
    </row>
    <row r="22" spans="1:12" ht="12.75">
      <c r="A22" s="1">
        <v>11</v>
      </c>
      <c r="B22" s="10" t="s">
        <v>122</v>
      </c>
      <c r="C22">
        <f>IF('muut muuttujat'!$G$3=2,1,0)</f>
        <v>0</v>
      </c>
      <c r="E22">
        <f t="shared" si="0"/>
        <v>0</v>
      </c>
      <c r="F22" s="10"/>
      <c r="K22" s="1"/>
      <c r="L22" s="10"/>
    </row>
    <row r="23" spans="1:12" ht="12.75">
      <c r="A23" s="1">
        <v>12</v>
      </c>
      <c r="B23" s="10" t="s">
        <v>123</v>
      </c>
      <c r="C23">
        <f>IF('muut muuttujat'!$G$3=2,1,0)</f>
        <v>0</v>
      </c>
      <c r="E23">
        <f t="shared" si="0"/>
        <v>0</v>
      </c>
      <c r="F23" s="10"/>
      <c r="K23" s="1"/>
      <c r="L23" s="10"/>
    </row>
    <row r="24" spans="1:12" ht="12.75">
      <c r="A24" s="1">
        <v>13</v>
      </c>
      <c r="B24" s="10" t="s">
        <v>124</v>
      </c>
      <c r="C24">
        <f>IF('muut muuttujat'!$G$3=2,1,0)</f>
        <v>0</v>
      </c>
      <c r="E24">
        <f t="shared" si="0"/>
        <v>0</v>
      </c>
      <c r="F24" s="10"/>
      <c r="K24" s="1"/>
      <c r="L24" s="10"/>
    </row>
    <row r="25" spans="1:12" ht="12.75">
      <c r="A25" s="1">
        <v>14</v>
      </c>
      <c r="B25" s="10" t="s">
        <v>125</v>
      </c>
      <c r="C25">
        <f>IF('muut muuttujat'!$G$3=2,1,0)</f>
        <v>0</v>
      </c>
      <c r="E25">
        <f t="shared" si="0"/>
        <v>0</v>
      </c>
      <c r="F25" s="10"/>
      <c r="K25" s="1"/>
      <c r="L25" s="10"/>
    </row>
    <row r="26" spans="1:12" ht="12.75">
      <c r="A26" s="1">
        <v>15</v>
      </c>
      <c r="B26" s="10" t="s">
        <v>126</v>
      </c>
      <c r="C26">
        <f>IF('muut muuttujat'!$G$3=2,1,0)</f>
        <v>0</v>
      </c>
      <c r="E26">
        <f t="shared" si="0"/>
        <v>0</v>
      </c>
      <c r="F26" s="10"/>
      <c r="G26">
        <v>1</v>
      </c>
      <c r="K26" s="1"/>
      <c r="L26" s="10"/>
    </row>
    <row r="27" spans="1:12" ht="12.75">
      <c r="A27" s="1">
        <v>16</v>
      </c>
      <c r="B27" s="10" t="s">
        <v>127</v>
      </c>
      <c r="C27">
        <f>IF('muut muuttujat'!$G$3=2,1,0)</f>
        <v>0</v>
      </c>
      <c r="E27">
        <f t="shared" si="0"/>
        <v>0</v>
      </c>
      <c r="F27" s="10"/>
      <c r="G27">
        <v>1</v>
      </c>
      <c r="K27" s="1"/>
      <c r="L27" s="10"/>
    </row>
    <row r="28" spans="1:12" ht="12.75">
      <c r="A28" s="1">
        <v>17</v>
      </c>
      <c r="B28" s="10" t="s">
        <v>128</v>
      </c>
      <c r="C28">
        <f>IF('muut muuttujat'!$G$3=2,1,0)</f>
        <v>0</v>
      </c>
      <c r="D28">
        <v>1</v>
      </c>
      <c r="E28">
        <f t="shared" si="0"/>
        <v>0</v>
      </c>
      <c r="F28" s="10"/>
      <c r="K28" s="1"/>
      <c r="L28" s="10"/>
    </row>
    <row r="29" spans="1:12" ht="12.75">
      <c r="A29" s="1">
        <v>18</v>
      </c>
      <c r="B29" s="10" t="s">
        <v>129</v>
      </c>
      <c r="C29">
        <f>IF('muut muuttujat'!$G$3=2,1,0)</f>
        <v>0</v>
      </c>
      <c r="D29">
        <v>1</v>
      </c>
      <c r="E29">
        <f t="shared" si="0"/>
        <v>0</v>
      </c>
      <c r="F29" s="10"/>
      <c r="K29" s="1"/>
      <c r="L29" s="10"/>
    </row>
    <row r="30" spans="1:12" ht="12.75">
      <c r="A30" s="1">
        <v>19</v>
      </c>
      <c r="B30" s="10" t="s">
        <v>130</v>
      </c>
      <c r="C30">
        <f>IF('muut muuttujat'!$G$3=2,1,0)</f>
        <v>0</v>
      </c>
      <c r="D30">
        <v>1</v>
      </c>
      <c r="E30">
        <f t="shared" si="0"/>
        <v>0</v>
      </c>
      <c r="F30" s="10"/>
      <c r="K30" s="1"/>
      <c r="L30" s="10"/>
    </row>
    <row r="31" spans="1:12" ht="12.75">
      <c r="A31" s="1">
        <v>20</v>
      </c>
      <c r="B31" s="10" t="s">
        <v>131</v>
      </c>
      <c r="C31">
        <f>IF('muut muuttujat'!$G$3=2,1,0)</f>
        <v>0</v>
      </c>
      <c r="E31">
        <f t="shared" si="0"/>
        <v>0</v>
      </c>
      <c r="F31" s="10"/>
      <c r="G31">
        <v>1</v>
      </c>
      <c r="K31" s="1"/>
      <c r="L31" s="10"/>
    </row>
    <row r="32" spans="1:12" ht="12.75">
      <c r="A32" s="1">
        <v>21</v>
      </c>
      <c r="B32" s="10" t="s">
        <v>489</v>
      </c>
      <c r="C32">
        <f>IF('muut muuttujat'!$G$3=2,1,0)</f>
        <v>0</v>
      </c>
      <c r="D32">
        <v>1</v>
      </c>
      <c r="E32">
        <f>IF(C32+D32&gt;1,1,0)</f>
        <v>0</v>
      </c>
      <c r="F32" s="10"/>
      <c r="K32" s="1"/>
      <c r="L32" s="10"/>
    </row>
    <row r="33" spans="1:12" ht="12.75">
      <c r="A33" s="1">
        <v>22</v>
      </c>
      <c r="B33" s="10" t="s">
        <v>490</v>
      </c>
      <c r="C33">
        <f>IF('muut muuttujat'!$G$3=2,1,0)</f>
        <v>0</v>
      </c>
      <c r="E33">
        <f>IF(C33+D33&gt;1,1,0)</f>
        <v>0</v>
      </c>
      <c r="F33" s="10"/>
      <c r="G33">
        <v>1</v>
      </c>
      <c r="K33" s="1"/>
      <c r="L33" s="10"/>
    </row>
    <row r="34" spans="1:12" ht="12.75">
      <c r="A34" s="1">
        <v>23</v>
      </c>
      <c r="B34" s="10" t="s">
        <v>487</v>
      </c>
      <c r="C34">
        <f>IF('muut muuttujat'!$G$3=2,1,0)</f>
        <v>0</v>
      </c>
      <c r="D34">
        <v>1</v>
      </c>
      <c r="E34">
        <f>IF(C34+D34&gt;1,1,0)</f>
        <v>0</v>
      </c>
      <c r="F34" s="10"/>
      <c r="K34" s="1"/>
      <c r="L34" s="10"/>
    </row>
    <row r="35" spans="1:12" ht="12.75">
      <c r="A35" s="1">
        <v>24</v>
      </c>
      <c r="B35" s="10" t="s">
        <v>488</v>
      </c>
      <c r="C35">
        <f>IF('muut muuttujat'!$G$3=2,1,0)</f>
        <v>0</v>
      </c>
      <c r="E35">
        <f>IF(C35+D35&gt;1,1,0)</f>
        <v>0</v>
      </c>
      <c r="F35" s="10"/>
      <c r="G35">
        <v>1</v>
      </c>
      <c r="K35" s="1"/>
      <c r="L35" s="10"/>
    </row>
    <row r="36" spans="1:12" ht="12.75">
      <c r="A36" s="1">
        <v>25</v>
      </c>
      <c r="B36" s="10" t="s">
        <v>457</v>
      </c>
      <c r="C36">
        <v>0</v>
      </c>
      <c r="D36">
        <v>1</v>
      </c>
      <c r="E36">
        <v>0</v>
      </c>
      <c r="F36" s="10"/>
      <c r="K36" s="1"/>
      <c r="L36" s="10"/>
    </row>
    <row r="37" spans="1:12" ht="12.75">
      <c r="A37" s="1">
        <v>26</v>
      </c>
      <c r="B37" s="10" t="s">
        <v>458</v>
      </c>
      <c r="C37">
        <v>0</v>
      </c>
      <c r="E37">
        <v>0</v>
      </c>
      <c r="F37" s="10"/>
      <c r="G37">
        <v>1</v>
      </c>
      <c r="K37" s="1"/>
      <c r="L37" s="10"/>
    </row>
    <row r="38" spans="1:12" ht="12.75">
      <c r="A38" s="1">
        <v>27</v>
      </c>
      <c r="B38" s="10" t="s">
        <v>491</v>
      </c>
      <c r="C38">
        <v>0</v>
      </c>
      <c r="D38">
        <v>1</v>
      </c>
      <c r="E38">
        <v>0</v>
      </c>
      <c r="F38" s="10"/>
      <c r="K38" s="1"/>
      <c r="L38" s="10"/>
    </row>
    <row r="39" spans="1:12" ht="12.75">
      <c r="A39" s="1">
        <v>28</v>
      </c>
      <c r="B39" s="10" t="s">
        <v>492</v>
      </c>
      <c r="C39">
        <v>0</v>
      </c>
      <c r="E39">
        <v>0</v>
      </c>
      <c r="F39" s="10"/>
      <c r="G39">
        <v>1</v>
      </c>
      <c r="K39" s="1"/>
      <c r="L39" s="10"/>
    </row>
    <row r="40" spans="1:12" ht="12.75">
      <c r="A40" s="1">
        <v>29</v>
      </c>
      <c r="B40" s="10" t="s">
        <v>17</v>
      </c>
      <c r="C40">
        <f>IF('muut muuttujat'!$G$3=2,1,0)</f>
        <v>0</v>
      </c>
      <c r="D40">
        <v>1</v>
      </c>
      <c r="E40">
        <f t="shared" si="0"/>
        <v>0</v>
      </c>
      <c r="F40" s="10">
        <v>1</v>
      </c>
      <c r="K40" s="1"/>
      <c r="L40" s="10"/>
    </row>
    <row r="41" spans="1:12" ht="12.75">
      <c r="A41" s="1">
        <v>30</v>
      </c>
      <c r="B41" s="10" t="s">
        <v>18</v>
      </c>
      <c r="C41">
        <f>IF('muut muuttujat'!$G$3=2,1,0)</f>
        <v>0</v>
      </c>
      <c r="D41">
        <v>1</v>
      </c>
      <c r="E41">
        <f t="shared" si="0"/>
        <v>0</v>
      </c>
      <c r="F41" s="10">
        <v>1</v>
      </c>
      <c r="K41" s="1"/>
      <c r="L41" s="10"/>
    </row>
    <row r="42" spans="1:12" ht="12.75">
      <c r="A42" s="1">
        <v>31</v>
      </c>
      <c r="B42" s="10" t="s">
        <v>19</v>
      </c>
      <c r="C42">
        <f>IF('muut muuttujat'!$G$3=2,1,0)</f>
        <v>0</v>
      </c>
      <c r="D42">
        <v>1</v>
      </c>
      <c r="E42">
        <f t="shared" si="0"/>
        <v>0</v>
      </c>
      <c r="F42" s="10">
        <v>1</v>
      </c>
      <c r="K42" s="1"/>
      <c r="L42" s="10"/>
    </row>
    <row r="43" spans="1:12" ht="12.75">
      <c r="A43" s="1">
        <v>32</v>
      </c>
      <c r="B43" s="10" t="s">
        <v>20</v>
      </c>
      <c r="C43">
        <f>IF('muut muuttujat'!$G$3=2,1,0)</f>
        <v>0</v>
      </c>
      <c r="D43">
        <v>1</v>
      </c>
      <c r="E43">
        <f t="shared" si="0"/>
        <v>0</v>
      </c>
      <c r="F43" s="10">
        <v>1</v>
      </c>
      <c r="K43" s="1"/>
      <c r="L43" s="10"/>
    </row>
    <row r="44" spans="1:12" ht="12.75">
      <c r="A44" s="1">
        <v>33</v>
      </c>
      <c r="B44" s="10" t="s">
        <v>21</v>
      </c>
      <c r="C44">
        <f>IF('muut muuttujat'!$G$3=2,1,0)</f>
        <v>0</v>
      </c>
      <c r="D44">
        <v>1</v>
      </c>
      <c r="E44">
        <f t="shared" si="0"/>
        <v>0</v>
      </c>
      <c r="F44" s="10">
        <v>1</v>
      </c>
      <c r="K44" s="1"/>
      <c r="L44" s="10"/>
    </row>
    <row r="45" spans="1:12" ht="12.75">
      <c r="A45" s="1">
        <v>34</v>
      </c>
      <c r="B45" s="10" t="s">
        <v>22</v>
      </c>
      <c r="C45">
        <f>IF('muut muuttujat'!$G$3=2,1,0)</f>
        <v>0</v>
      </c>
      <c r="D45">
        <v>1</v>
      </c>
      <c r="E45">
        <f t="shared" si="0"/>
        <v>0</v>
      </c>
      <c r="F45" s="10">
        <v>1</v>
      </c>
      <c r="K45" s="1"/>
      <c r="L45" s="10"/>
    </row>
    <row r="46" spans="1:12" ht="12.75">
      <c r="A46" s="1">
        <v>35</v>
      </c>
      <c r="B46" s="10" t="s">
        <v>24</v>
      </c>
      <c r="C46">
        <f>IF('muut muuttujat'!$G$3=2,1,0)</f>
        <v>0</v>
      </c>
      <c r="D46">
        <v>1</v>
      </c>
      <c r="E46">
        <f t="shared" si="0"/>
        <v>0</v>
      </c>
      <c r="F46" s="10">
        <v>1</v>
      </c>
      <c r="K46" s="1"/>
      <c r="L46" s="10"/>
    </row>
    <row r="47" spans="1:12" ht="12.75">
      <c r="A47" s="1">
        <v>36</v>
      </c>
      <c r="B47" s="10" t="s">
        <v>23</v>
      </c>
      <c r="C47">
        <f>IF('muut muuttujat'!$G$3=2,1,0)</f>
        <v>0</v>
      </c>
      <c r="D47">
        <v>1</v>
      </c>
      <c r="E47">
        <f t="shared" si="0"/>
        <v>0</v>
      </c>
      <c r="F47" s="10">
        <v>1</v>
      </c>
      <c r="K47" s="1"/>
      <c r="L47" s="10"/>
    </row>
    <row r="48" spans="1:12" ht="12.75">
      <c r="A48" s="1">
        <v>37</v>
      </c>
      <c r="B48" s="10" t="s">
        <v>25</v>
      </c>
      <c r="C48">
        <f>IF('muut muuttujat'!$G$3=2,1,0)</f>
        <v>0</v>
      </c>
      <c r="D48">
        <v>1</v>
      </c>
      <c r="E48">
        <f t="shared" si="0"/>
        <v>0</v>
      </c>
      <c r="F48" s="10">
        <v>1</v>
      </c>
      <c r="K48" s="1"/>
      <c r="L48" s="10"/>
    </row>
    <row r="49" spans="1:12" ht="12.75">
      <c r="A49" s="1">
        <v>38</v>
      </c>
      <c r="B49" s="10" t="s">
        <v>26</v>
      </c>
      <c r="C49">
        <f>IF('muut muuttujat'!$G$3=2,1,0)</f>
        <v>0</v>
      </c>
      <c r="D49">
        <v>1</v>
      </c>
      <c r="E49">
        <f t="shared" si="0"/>
        <v>0</v>
      </c>
      <c r="F49" s="10">
        <v>1</v>
      </c>
      <c r="K49" s="1"/>
      <c r="L49" s="10"/>
    </row>
    <row r="50" spans="1:12" ht="12.75">
      <c r="A50" s="1">
        <v>39</v>
      </c>
      <c r="B50" s="10" t="s">
        <v>27</v>
      </c>
      <c r="C50">
        <f>IF('muut muuttujat'!$G$3=2,1,0)</f>
        <v>0</v>
      </c>
      <c r="D50">
        <v>1</v>
      </c>
      <c r="E50">
        <f t="shared" si="0"/>
        <v>0</v>
      </c>
      <c r="F50" s="10">
        <v>1</v>
      </c>
      <c r="K50" s="1"/>
      <c r="L50" s="10"/>
    </row>
    <row r="51" spans="1:12" ht="12.75">
      <c r="A51" s="1">
        <v>40</v>
      </c>
      <c r="B51" s="10" t="s">
        <v>132</v>
      </c>
      <c r="C51">
        <f>IF('muut muuttujat'!$G$3=2,1,0)</f>
        <v>0</v>
      </c>
      <c r="D51">
        <v>1</v>
      </c>
      <c r="E51">
        <f t="shared" si="0"/>
        <v>0</v>
      </c>
      <c r="F51" s="10">
        <v>1</v>
      </c>
      <c r="K51" s="1"/>
      <c r="L51" s="10"/>
    </row>
    <row r="52" spans="1:12" ht="12.75">
      <c r="A52" s="1">
        <v>41</v>
      </c>
      <c r="B52" s="10" t="s">
        <v>31</v>
      </c>
      <c r="C52">
        <f>IF('muut muuttujat'!$G$3=2,1,0)</f>
        <v>0</v>
      </c>
      <c r="D52">
        <v>1</v>
      </c>
      <c r="E52">
        <f t="shared" si="0"/>
        <v>0</v>
      </c>
      <c r="F52" s="10">
        <v>1</v>
      </c>
      <c r="K52" s="1"/>
      <c r="L52" s="10"/>
    </row>
    <row r="53" spans="1:12" ht="12.75">
      <c r="A53" s="1">
        <v>42</v>
      </c>
      <c r="B53" s="10" t="s">
        <v>32</v>
      </c>
      <c r="C53">
        <f>IF('muut muuttujat'!$G$3=2,1,0)</f>
        <v>0</v>
      </c>
      <c r="D53">
        <v>1</v>
      </c>
      <c r="E53">
        <f t="shared" si="0"/>
        <v>0</v>
      </c>
      <c r="F53" s="10">
        <v>1</v>
      </c>
      <c r="K53" s="1"/>
      <c r="L53" s="10"/>
    </row>
    <row r="54" spans="1:12" ht="12.75">
      <c r="A54" s="1">
        <v>43</v>
      </c>
      <c r="B54" s="10" t="s">
        <v>502</v>
      </c>
      <c r="C54">
        <f>IF('muut muuttujat'!$G$3=2,1,0)</f>
        <v>0</v>
      </c>
      <c r="D54">
        <v>1</v>
      </c>
      <c r="E54">
        <f t="shared" si="0"/>
        <v>0</v>
      </c>
      <c r="F54" s="10">
        <v>1</v>
      </c>
      <c r="K54" s="1"/>
      <c r="L54" s="10"/>
    </row>
    <row r="55" spans="1:12" ht="12.75">
      <c r="A55" s="1">
        <v>44</v>
      </c>
      <c r="B55" s="10" t="s">
        <v>33</v>
      </c>
      <c r="C55">
        <f>IF('muut muuttujat'!$G$3=2,1,0)</f>
        <v>0</v>
      </c>
      <c r="D55">
        <v>1</v>
      </c>
      <c r="E55">
        <f t="shared" si="0"/>
        <v>0</v>
      </c>
      <c r="F55" s="10">
        <v>1</v>
      </c>
      <c r="K55" s="1"/>
      <c r="L55" s="10"/>
    </row>
    <row r="56" spans="1:12" ht="12.75">
      <c r="A56" s="1">
        <v>45</v>
      </c>
      <c r="B56" s="10" t="s">
        <v>28</v>
      </c>
      <c r="C56">
        <f>IF('muut muuttujat'!$G$3=2,1,0)</f>
        <v>0</v>
      </c>
      <c r="D56">
        <v>1</v>
      </c>
      <c r="E56">
        <f t="shared" si="0"/>
        <v>0</v>
      </c>
      <c r="F56" s="10">
        <v>1</v>
      </c>
      <c r="K56" s="1"/>
      <c r="L56" s="10"/>
    </row>
    <row r="57" spans="1:12" ht="12.75">
      <c r="A57" s="1">
        <v>46</v>
      </c>
      <c r="B57" s="10" t="s">
        <v>503</v>
      </c>
      <c r="C57">
        <f>IF('muut muuttujat'!$G$3=2,1,0)</f>
        <v>0</v>
      </c>
      <c r="D57">
        <v>1</v>
      </c>
      <c r="E57">
        <f t="shared" si="0"/>
        <v>0</v>
      </c>
      <c r="F57" s="10">
        <v>1</v>
      </c>
      <c r="K57" s="1"/>
      <c r="L57" s="10"/>
    </row>
    <row r="58" spans="1:12" ht="12.75">
      <c r="A58" s="1">
        <v>47</v>
      </c>
      <c r="B58" s="10" t="s">
        <v>29</v>
      </c>
      <c r="C58">
        <f>IF('muut muuttujat'!$G$3=2,1,0)</f>
        <v>0</v>
      </c>
      <c r="D58">
        <v>1</v>
      </c>
      <c r="E58">
        <f t="shared" si="0"/>
        <v>0</v>
      </c>
      <c r="F58" s="10">
        <v>1</v>
      </c>
      <c r="K58" s="1"/>
      <c r="L58" s="10"/>
    </row>
    <row r="59" spans="1:12" ht="12.75">
      <c r="A59" s="1">
        <v>48</v>
      </c>
      <c r="B59" s="10" t="s">
        <v>30</v>
      </c>
      <c r="C59">
        <f>IF('muut muuttujat'!$G$3=2,1,0)</f>
        <v>0</v>
      </c>
      <c r="D59">
        <v>1</v>
      </c>
      <c r="E59">
        <f t="shared" si="0"/>
        <v>0</v>
      </c>
      <c r="F59" s="10">
        <v>1</v>
      </c>
      <c r="K59" s="1"/>
      <c r="L59" s="10"/>
    </row>
    <row r="60" spans="1:12" ht="12.75">
      <c r="A60" s="1">
        <v>49</v>
      </c>
      <c r="B60" s="10" t="s">
        <v>34</v>
      </c>
      <c r="C60">
        <f>IF('muut muuttujat'!$G$3=2,1,0)</f>
        <v>0</v>
      </c>
      <c r="D60">
        <v>1</v>
      </c>
      <c r="E60">
        <f t="shared" si="0"/>
        <v>0</v>
      </c>
      <c r="F60" s="10">
        <v>1</v>
      </c>
      <c r="H60">
        <v>1</v>
      </c>
      <c r="K60" s="1"/>
      <c r="L60" s="10"/>
    </row>
    <row r="61" spans="1:12" ht="12.75">
      <c r="A61" s="1">
        <v>50</v>
      </c>
      <c r="B61" s="10" t="s">
        <v>35</v>
      </c>
      <c r="C61">
        <f>IF('muut muuttujat'!$G$3=2,1,0)</f>
        <v>0</v>
      </c>
      <c r="D61">
        <v>1</v>
      </c>
      <c r="E61">
        <f t="shared" si="0"/>
        <v>0</v>
      </c>
      <c r="F61" s="10">
        <v>1</v>
      </c>
      <c r="H61">
        <v>1</v>
      </c>
      <c r="K61" s="1"/>
      <c r="L61" s="10"/>
    </row>
    <row r="62" spans="1:12" ht="12.75">
      <c r="A62" s="1">
        <v>51</v>
      </c>
      <c r="B62" s="10" t="s">
        <v>36</v>
      </c>
      <c r="C62">
        <f>IF('muut muuttujat'!$G$3=2,1,0)</f>
        <v>0</v>
      </c>
      <c r="D62">
        <v>1</v>
      </c>
      <c r="E62">
        <f t="shared" si="0"/>
        <v>0</v>
      </c>
      <c r="F62" s="10">
        <v>1</v>
      </c>
      <c r="H62">
        <v>1</v>
      </c>
      <c r="K62" s="1"/>
      <c r="L62" s="10"/>
    </row>
    <row r="63" spans="1:12" ht="12.75">
      <c r="A63" s="1">
        <v>52</v>
      </c>
      <c r="B63" s="10" t="s">
        <v>37</v>
      </c>
      <c r="C63">
        <f>IF('muut muuttujat'!$G$3=2,1,0)</f>
        <v>0</v>
      </c>
      <c r="D63">
        <v>1</v>
      </c>
      <c r="E63">
        <f t="shared" si="0"/>
        <v>0</v>
      </c>
      <c r="F63" s="10">
        <v>1</v>
      </c>
      <c r="H63">
        <v>1</v>
      </c>
      <c r="K63" s="1"/>
      <c r="L63" s="10"/>
    </row>
    <row r="64" spans="1:12" ht="12.75">
      <c r="A64" s="1">
        <v>53</v>
      </c>
      <c r="B64" s="10" t="s">
        <v>38</v>
      </c>
      <c r="C64">
        <f>IF('muut muuttujat'!$G$3=2,1,0)</f>
        <v>0</v>
      </c>
      <c r="D64">
        <v>1</v>
      </c>
      <c r="E64">
        <f t="shared" si="0"/>
        <v>0</v>
      </c>
      <c r="F64" s="10">
        <v>1</v>
      </c>
      <c r="H64">
        <v>1</v>
      </c>
      <c r="K64" s="1"/>
      <c r="L64" s="10"/>
    </row>
    <row r="65" spans="1:12" ht="12.75">
      <c r="A65" s="1">
        <v>54</v>
      </c>
      <c r="B65" s="10" t="s">
        <v>39</v>
      </c>
      <c r="C65">
        <f>IF('muut muuttujat'!$G$3=2,1,0)</f>
        <v>0</v>
      </c>
      <c r="D65">
        <v>1</v>
      </c>
      <c r="E65">
        <f t="shared" si="0"/>
        <v>0</v>
      </c>
      <c r="F65" s="10">
        <v>1</v>
      </c>
      <c r="H65">
        <v>1</v>
      </c>
      <c r="K65" s="1"/>
      <c r="L65" s="10"/>
    </row>
    <row r="66" spans="1:12" ht="12.75">
      <c r="A66" s="1">
        <v>55</v>
      </c>
      <c r="B66" s="10" t="s">
        <v>41</v>
      </c>
      <c r="C66">
        <f>IF('muut muuttujat'!$G$3=2,1,0)</f>
        <v>0</v>
      </c>
      <c r="D66">
        <v>1</v>
      </c>
      <c r="E66">
        <f t="shared" si="0"/>
        <v>0</v>
      </c>
      <c r="F66" s="10">
        <v>1</v>
      </c>
      <c r="H66">
        <v>1</v>
      </c>
      <c r="K66" s="1"/>
      <c r="L66" s="10"/>
    </row>
    <row r="67" spans="1:12" ht="12.75">
      <c r="A67" s="1">
        <v>56</v>
      </c>
      <c r="B67" s="10" t="s">
        <v>40</v>
      </c>
      <c r="C67">
        <f>IF('muut muuttujat'!$G$3=2,1,0)</f>
        <v>0</v>
      </c>
      <c r="D67">
        <v>1</v>
      </c>
      <c r="E67">
        <f t="shared" si="0"/>
        <v>0</v>
      </c>
      <c r="F67" s="10">
        <v>1</v>
      </c>
      <c r="H67">
        <v>1</v>
      </c>
      <c r="K67" s="1"/>
      <c r="L67" s="10"/>
    </row>
    <row r="68" spans="1:12" ht="12.75">
      <c r="A68" s="1">
        <v>57</v>
      </c>
      <c r="B68" s="10" t="s">
        <v>42</v>
      </c>
      <c r="C68">
        <f>IF('muut muuttujat'!$G$3=2,1,0)</f>
        <v>0</v>
      </c>
      <c r="D68">
        <v>1</v>
      </c>
      <c r="E68">
        <f t="shared" si="0"/>
        <v>0</v>
      </c>
      <c r="F68" s="10">
        <v>1</v>
      </c>
      <c r="H68">
        <v>1</v>
      </c>
      <c r="K68" s="1"/>
      <c r="L68" s="10"/>
    </row>
    <row r="69" spans="1:12" ht="12.75">
      <c r="A69" s="1">
        <v>58</v>
      </c>
      <c r="B69" s="10" t="s">
        <v>43</v>
      </c>
      <c r="C69">
        <f>IF('muut muuttujat'!$G$3=2,1,0)</f>
        <v>0</v>
      </c>
      <c r="D69">
        <v>1</v>
      </c>
      <c r="E69">
        <f t="shared" si="0"/>
        <v>0</v>
      </c>
      <c r="F69" s="10">
        <v>1</v>
      </c>
      <c r="H69">
        <v>1</v>
      </c>
      <c r="K69" s="1"/>
      <c r="L69" s="10"/>
    </row>
    <row r="70" spans="1:12" ht="12.75">
      <c r="A70" s="1">
        <v>59</v>
      </c>
      <c r="B70" s="10" t="s">
        <v>44</v>
      </c>
      <c r="C70">
        <f>IF('muut muuttujat'!$G$3=2,1,0)</f>
        <v>0</v>
      </c>
      <c r="D70">
        <v>1</v>
      </c>
      <c r="E70">
        <f t="shared" si="0"/>
        <v>0</v>
      </c>
      <c r="F70" s="10">
        <v>1</v>
      </c>
      <c r="H70">
        <v>1</v>
      </c>
      <c r="K70" s="1"/>
      <c r="L70" s="10"/>
    </row>
    <row r="71" spans="1:12" ht="12.75">
      <c r="A71" s="1">
        <v>60</v>
      </c>
      <c r="B71" s="10" t="s">
        <v>85</v>
      </c>
      <c r="C71">
        <f>IF('muut muuttujat'!$G$3=2,1,0)</f>
        <v>0</v>
      </c>
      <c r="D71">
        <v>1</v>
      </c>
      <c r="E71">
        <f t="shared" si="0"/>
        <v>0</v>
      </c>
      <c r="F71" s="10">
        <v>1</v>
      </c>
      <c r="H71">
        <v>1</v>
      </c>
      <c r="K71" s="1"/>
      <c r="L71" s="10"/>
    </row>
    <row r="72" spans="1:12" ht="12.75">
      <c r="A72" s="1">
        <v>61</v>
      </c>
      <c r="B72" s="10" t="s">
        <v>45</v>
      </c>
      <c r="C72">
        <f>IF('muut muuttujat'!$G$3=2,1,0)</f>
        <v>0</v>
      </c>
      <c r="D72">
        <v>1</v>
      </c>
      <c r="E72">
        <f t="shared" si="0"/>
        <v>0</v>
      </c>
      <c r="F72" s="10">
        <v>1</v>
      </c>
      <c r="H72">
        <v>1</v>
      </c>
      <c r="K72" s="1"/>
      <c r="L72" s="10"/>
    </row>
    <row r="73" spans="1:12" ht="12.75">
      <c r="A73" s="1">
        <v>62</v>
      </c>
      <c r="B73" s="10" t="s">
        <v>46</v>
      </c>
      <c r="C73">
        <f>IF('muut muuttujat'!$G$3=2,1,0)</f>
        <v>0</v>
      </c>
      <c r="D73">
        <v>1</v>
      </c>
      <c r="E73">
        <f t="shared" si="0"/>
        <v>0</v>
      </c>
      <c r="F73" s="10">
        <v>1</v>
      </c>
      <c r="H73">
        <v>1</v>
      </c>
      <c r="K73" s="1"/>
      <c r="L73" s="10"/>
    </row>
    <row r="74" spans="1:12" ht="12.75">
      <c r="A74" s="1">
        <v>63</v>
      </c>
      <c r="B74" s="10" t="s">
        <v>505</v>
      </c>
      <c r="C74">
        <f>IF('muut muuttujat'!$G$3=2,1,0)</f>
        <v>0</v>
      </c>
      <c r="D74">
        <v>1</v>
      </c>
      <c r="E74">
        <f t="shared" si="0"/>
        <v>0</v>
      </c>
      <c r="F74" s="10">
        <v>1</v>
      </c>
      <c r="H74">
        <v>1</v>
      </c>
      <c r="K74" s="1"/>
      <c r="L74" s="10"/>
    </row>
    <row r="75" spans="1:12" ht="12.75">
      <c r="A75" s="1">
        <v>64</v>
      </c>
      <c r="B75" s="10" t="s">
        <v>47</v>
      </c>
      <c r="C75">
        <f>IF('muut muuttujat'!$G$3=2,1,0)</f>
        <v>0</v>
      </c>
      <c r="D75">
        <v>1</v>
      </c>
      <c r="E75">
        <f t="shared" si="0"/>
        <v>0</v>
      </c>
      <c r="F75" s="10">
        <v>1</v>
      </c>
      <c r="H75">
        <v>1</v>
      </c>
      <c r="K75" s="1"/>
      <c r="L75" s="10"/>
    </row>
    <row r="76" spans="1:12" ht="12.75">
      <c r="A76" s="1">
        <v>65</v>
      </c>
      <c r="B76" s="10" t="s">
        <v>48</v>
      </c>
      <c r="C76">
        <f>IF('muut muuttujat'!$G$3=2,1,0)</f>
        <v>0</v>
      </c>
      <c r="D76">
        <v>1</v>
      </c>
      <c r="E76">
        <f t="shared" si="0"/>
        <v>0</v>
      </c>
      <c r="F76" s="10">
        <v>1</v>
      </c>
      <c r="H76">
        <v>1</v>
      </c>
      <c r="K76" s="1"/>
      <c r="L76" s="10"/>
    </row>
    <row r="77" spans="1:12" ht="12.75">
      <c r="A77" s="1">
        <v>66</v>
      </c>
      <c r="B77" s="10" t="s">
        <v>504</v>
      </c>
      <c r="C77">
        <f>IF('muut muuttujat'!$G$3=2,1,0)</f>
        <v>0</v>
      </c>
      <c r="D77">
        <v>1</v>
      </c>
      <c r="E77">
        <f t="shared" si="0"/>
        <v>0</v>
      </c>
      <c r="F77" s="10">
        <v>1</v>
      </c>
      <c r="H77">
        <v>1</v>
      </c>
      <c r="K77" s="1"/>
      <c r="L77" s="10"/>
    </row>
    <row r="78" spans="1:12" ht="12.75">
      <c r="A78" s="1">
        <v>67</v>
      </c>
      <c r="B78" s="10" t="s">
        <v>49</v>
      </c>
      <c r="C78">
        <f>IF('muut muuttujat'!$G$3=2,1,0)</f>
        <v>0</v>
      </c>
      <c r="D78">
        <v>1</v>
      </c>
      <c r="E78">
        <f t="shared" si="0"/>
        <v>0</v>
      </c>
      <c r="F78" s="10">
        <v>1</v>
      </c>
      <c r="H78">
        <v>1</v>
      </c>
      <c r="K78" s="1"/>
      <c r="L78" s="10"/>
    </row>
    <row r="79" spans="1:12" ht="12.75">
      <c r="A79" s="1">
        <v>68</v>
      </c>
      <c r="B79" s="10" t="s">
        <v>50</v>
      </c>
      <c r="C79">
        <f>IF('muut muuttujat'!$G$3=2,1,0)</f>
        <v>0</v>
      </c>
      <c r="D79">
        <v>1</v>
      </c>
      <c r="E79">
        <f t="shared" si="0"/>
        <v>0</v>
      </c>
      <c r="F79" s="10">
        <v>1</v>
      </c>
      <c r="H79">
        <v>1</v>
      </c>
      <c r="K79" s="1"/>
      <c r="L79" s="10"/>
    </row>
    <row r="80" spans="1:12" ht="12.75">
      <c r="A80" s="1">
        <v>69</v>
      </c>
      <c r="B80" s="10" t="s">
        <v>51</v>
      </c>
      <c r="C80">
        <f>IF('muut muuttujat'!$G$3=2,1,0)</f>
        <v>0</v>
      </c>
      <c r="D80">
        <v>1</v>
      </c>
      <c r="E80">
        <f t="shared" si="0"/>
        <v>0</v>
      </c>
      <c r="F80" s="10">
        <v>1</v>
      </c>
      <c r="K80" s="1"/>
      <c r="L80" s="10"/>
    </row>
    <row r="81" spans="1:12" ht="12.75">
      <c r="A81" s="1">
        <v>70</v>
      </c>
      <c r="B81" s="10" t="s">
        <v>52</v>
      </c>
      <c r="C81">
        <f>IF('muut muuttujat'!$G$3=2,1,0)</f>
        <v>0</v>
      </c>
      <c r="D81">
        <v>1</v>
      </c>
      <c r="E81">
        <f t="shared" si="0"/>
        <v>0</v>
      </c>
      <c r="F81" s="10">
        <v>1</v>
      </c>
      <c r="K81" s="1"/>
      <c r="L81" s="10"/>
    </row>
    <row r="82" spans="1:12" ht="12.75">
      <c r="A82" s="1">
        <v>71</v>
      </c>
      <c r="B82" s="10" t="s">
        <v>53</v>
      </c>
      <c r="C82">
        <f>IF('muut muuttujat'!$G$3=2,1,0)</f>
        <v>0</v>
      </c>
      <c r="D82">
        <v>1</v>
      </c>
      <c r="E82">
        <f t="shared" si="0"/>
        <v>0</v>
      </c>
      <c r="F82" s="10">
        <v>1</v>
      </c>
      <c r="K82" s="1"/>
      <c r="L82" s="10"/>
    </row>
    <row r="83" spans="1:12" ht="12.75">
      <c r="A83" s="1">
        <v>72</v>
      </c>
      <c r="B83" s="10" t="s">
        <v>54</v>
      </c>
      <c r="C83">
        <f>IF('muut muuttujat'!$G$3=2,1,0)</f>
        <v>0</v>
      </c>
      <c r="D83">
        <v>1</v>
      </c>
      <c r="E83">
        <f t="shared" si="0"/>
        <v>0</v>
      </c>
      <c r="F83" s="10">
        <v>1</v>
      </c>
      <c r="K83" s="1"/>
      <c r="L83" s="10"/>
    </row>
    <row r="84" spans="1:12" ht="12.75">
      <c r="A84" s="1">
        <v>73</v>
      </c>
      <c r="B84" s="10" t="s">
        <v>152</v>
      </c>
      <c r="C84">
        <f>IF('muut muuttujat'!$G$3=2,1,0)</f>
        <v>0</v>
      </c>
      <c r="D84">
        <v>1</v>
      </c>
      <c r="E84">
        <f t="shared" si="0"/>
        <v>0</v>
      </c>
      <c r="F84" s="10">
        <v>1</v>
      </c>
      <c r="H84">
        <v>1</v>
      </c>
      <c r="K84" s="1"/>
      <c r="L84" s="10"/>
    </row>
    <row r="85" spans="1:12" ht="12.75">
      <c r="A85" s="1">
        <v>74</v>
      </c>
      <c r="B85" s="10" t="s">
        <v>59</v>
      </c>
      <c r="C85">
        <f>IF('muut muuttujat'!$G$3=2,1,0)</f>
        <v>0</v>
      </c>
      <c r="D85">
        <v>1</v>
      </c>
      <c r="E85">
        <f t="shared" si="0"/>
        <v>0</v>
      </c>
      <c r="F85" s="10">
        <v>1</v>
      </c>
      <c r="H85">
        <v>1</v>
      </c>
      <c r="K85" s="1"/>
      <c r="L85" s="10"/>
    </row>
    <row r="86" spans="1:12" ht="12.75">
      <c r="A86" s="1">
        <v>75</v>
      </c>
      <c r="B86" s="10" t="s">
        <v>61</v>
      </c>
      <c r="C86">
        <f>IF('muut muuttujat'!$G$3=2,1,0)</f>
        <v>0</v>
      </c>
      <c r="D86">
        <v>1</v>
      </c>
      <c r="E86">
        <f aca="true" t="shared" si="1" ref="E86:E98">IF(C86+D86&gt;1,1,0)</f>
        <v>0</v>
      </c>
      <c r="F86" s="10">
        <v>1</v>
      </c>
      <c r="H86">
        <v>1</v>
      </c>
      <c r="K86" s="1"/>
      <c r="L86" s="10"/>
    </row>
    <row r="87" spans="1:12" ht="12.75">
      <c r="A87" s="1">
        <v>76</v>
      </c>
      <c r="B87" s="10" t="s">
        <v>60</v>
      </c>
      <c r="C87">
        <f>IF('muut muuttujat'!$G$3=2,1,0)</f>
        <v>0</v>
      </c>
      <c r="D87">
        <v>1</v>
      </c>
      <c r="E87">
        <f t="shared" si="1"/>
        <v>0</v>
      </c>
      <c r="F87" s="10">
        <v>1</v>
      </c>
      <c r="H87">
        <v>1</v>
      </c>
      <c r="K87" s="1"/>
      <c r="L87" s="10"/>
    </row>
    <row r="88" spans="1:12" ht="12.75">
      <c r="A88" s="1">
        <v>77</v>
      </c>
      <c r="B88" s="10" t="s">
        <v>55</v>
      </c>
      <c r="C88">
        <f>IF('muut muuttujat'!$G$3=2,1,0)</f>
        <v>0</v>
      </c>
      <c r="D88">
        <v>1</v>
      </c>
      <c r="E88">
        <f t="shared" si="1"/>
        <v>0</v>
      </c>
      <c r="F88" s="10">
        <v>1</v>
      </c>
      <c r="K88" s="1"/>
      <c r="L88" s="10"/>
    </row>
    <row r="89" spans="1:12" ht="12.75">
      <c r="A89" s="1">
        <v>78</v>
      </c>
      <c r="B89" s="10" t="s">
        <v>56</v>
      </c>
      <c r="C89">
        <f>IF('muut muuttujat'!$G$3=2,1,0)</f>
        <v>0</v>
      </c>
      <c r="D89">
        <v>1</v>
      </c>
      <c r="E89">
        <f t="shared" si="1"/>
        <v>0</v>
      </c>
      <c r="F89" s="10">
        <v>1</v>
      </c>
      <c r="K89" s="1"/>
      <c r="L89" s="10"/>
    </row>
    <row r="90" spans="1:12" ht="12.75">
      <c r="A90" s="1">
        <v>79</v>
      </c>
      <c r="B90" s="10" t="s">
        <v>58</v>
      </c>
      <c r="C90">
        <f>IF('muut muuttujat'!$G$3=2,1,0)</f>
        <v>0</v>
      </c>
      <c r="D90">
        <v>1</v>
      </c>
      <c r="E90">
        <f t="shared" si="1"/>
        <v>0</v>
      </c>
      <c r="F90" s="10">
        <v>1</v>
      </c>
      <c r="K90" s="1"/>
      <c r="L90" s="10"/>
    </row>
    <row r="91" spans="1:12" ht="12.75">
      <c r="A91" s="1">
        <v>80</v>
      </c>
      <c r="B91" s="10" t="s">
        <v>57</v>
      </c>
      <c r="C91">
        <f>IF('muut muuttujat'!$G$3=2,1,0)</f>
        <v>0</v>
      </c>
      <c r="D91">
        <v>1</v>
      </c>
      <c r="E91">
        <f t="shared" si="1"/>
        <v>0</v>
      </c>
      <c r="F91" s="10">
        <v>1</v>
      </c>
      <c r="K91" s="1"/>
      <c r="L91" s="10"/>
    </row>
    <row r="92" spans="1:12" ht="12.75">
      <c r="A92" s="1">
        <v>81</v>
      </c>
      <c r="B92" s="10" t="s">
        <v>62</v>
      </c>
      <c r="C92">
        <f>IF('muut muuttujat'!$G$3=2,1,0)</f>
        <v>0</v>
      </c>
      <c r="D92">
        <v>1</v>
      </c>
      <c r="E92">
        <f t="shared" si="1"/>
        <v>0</v>
      </c>
      <c r="F92" s="10">
        <v>1</v>
      </c>
      <c r="H92">
        <v>1</v>
      </c>
      <c r="K92" s="1"/>
      <c r="L92" s="10"/>
    </row>
    <row r="93" spans="1:12" ht="12.75">
      <c r="A93" s="1">
        <v>82</v>
      </c>
      <c r="B93" s="10" t="s">
        <v>63</v>
      </c>
      <c r="C93">
        <f>IF('muut muuttujat'!$G$3=2,1,0)</f>
        <v>0</v>
      </c>
      <c r="D93">
        <v>1</v>
      </c>
      <c r="E93">
        <f t="shared" si="1"/>
        <v>0</v>
      </c>
      <c r="F93" s="10">
        <v>1</v>
      </c>
      <c r="H93">
        <v>1</v>
      </c>
      <c r="K93" s="1"/>
      <c r="L93" s="10"/>
    </row>
    <row r="94" spans="1:12" ht="12.75">
      <c r="A94" s="1">
        <v>83</v>
      </c>
      <c r="B94" s="10" t="s">
        <v>64</v>
      </c>
      <c r="C94">
        <f>IF('muut muuttujat'!$G$3=2,1,0)</f>
        <v>0</v>
      </c>
      <c r="D94">
        <v>1</v>
      </c>
      <c r="E94">
        <f t="shared" si="1"/>
        <v>0</v>
      </c>
      <c r="F94" s="10">
        <v>1</v>
      </c>
      <c r="H94">
        <v>1</v>
      </c>
      <c r="K94" s="1"/>
      <c r="L94" s="10"/>
    </row>
    <row r="95" spans="1:12" ht="12.75">
      <c r="A95" s="1">
        <v>84</v>
      </c>
      <c r="B95" s="10" t="s">
        <v>65</v>
      </c>
      <c r="C95">
        <f>IF('muut muuttujat'!$G$3=2,1,0)</f>
        <v>0</v>
      </c>
      <c r="D95">
        <v>1</v>
      </c>
      <c r="E95">
        <f t="shared" si="1"/>
        <v>0</v>
      </c>
      <c r="F95" s="10">
        <v>1</v>
      </c>
      <c r="H95">
        <v>1</v>
      </c>
      <c r="K95" s="1"/>
      <c r="L95" s="10"/>
    </row>
    <row r="96" spans="1:12" ht="12.75">
      <c r="A96" s="1">
        <v>85</v>
      </c>
      <c r="B96" s="10" t="s">
        <v>133</v>
      </c>
      <c r="C96">
        <f>IF('muut muuttujat'!$G$3=2,1,0)</f>
        <v>0</v>
      </c>
      <c r="E96">
        <f t="shared" si="1"/>
        <v>0</v>
      </c>
      <c r="F96" s="10"/>
      <c r="K96" s="1"/>
      <c r="L96" s="10"/>
    </row>
    <row r="97" spans="1:12" ht="12.75">
      <c r="A97" s="1">
        <v>86</v>
      </c>
      <c r="B97" s="10" t="s">
        <v>177</v>
      </c>
      <c r="C97">
        <f>IF('muut muuttujat'!$G$3=2,1,0)</f>
        <v>0</v>
      </c>
      <c r="E97">
        <f t="shared" si="1"/>
        <v>0</v>
      </c>
      <c r="F97" s="10"/>
      <c r="K97" s="1"/>
      <c r="L97" s="10"/>
    </row>
    <row r="98" spans="1:12" ht="12.75">
      <c r="A98" s="1">
        <v>87</v>
      </c>
      <c r="B98" s="10" t="s">
        <v>178</v>
      </c>
      <c r="C98">
        <f>IF('muut muuttujat'!$G$3=2,1,0)</f>
        <v>0</v>
      </c>
      <c r="E98">
        <f t="shared" si="1"/>
        <v>0</v>
      </c>
      <c r="F98" s="10"/>
      <c r="K98" s="1"/>
      <c r="L98" s="10"/>
    </row>
    <row r="99" spans="1:12" ht="12.75">
      <c r="A99" s="1">
        <v>88</v>
      </c>
      <c r="B99" s="10" t="s">
        <v>134</v>
      </c>
      <c r="C99">
        <f>IF('muut muuttujat'!$G$3=2,1,0)</f>
        <v>0</v>
      </c>
      <c r="E99">
        <f aca="true" t="shared" si="2" ref="E99:E107">IF(C99+D99&gt;1,1,0)</f>
        <v>0</v>
      </c>
      <c r="K99" s="1"/>
      <c r="L99" s="10"/>
    </row>
    <row r="100" spans="1:12" ht="12.75">
      <c r="A100" s="1">
        <v>89</v>
      </c>
      <c r="B100" s="10" t="s">
        <v>135</v>
      </c>
      <c r="C100">
        <f>IF('muut muuttujat'!$G$3=2,1,0)</f>
        <v>0</v>
      </c>
      <c r="E100">
        <f t="shared" si="2"/>
        <v>0</v>
      </c>
      <c r="K100" s="1"/>
      <c r="L100" s="10"/>
    </row>
    <row r="101" spans="1:12" ht="12.75">
      <c r="A101" s="1">
        <v>90</v>
      </c>
      <c r="B101" s="10" t="s">
        <v>67</v>
      </c>
      <c r="C101">
        <f>IF('muut muuttujat'!$G$3=2,1,0)</f>
        <v>0</v>
      </c>
      <c r="E101">
        <f t="shared" si="2"/>
        <v>0</v>
      </c>
      <c r="F101">
        <v>1</v>
      </c>
      <c r="K101" s="1"/>
      <c r="L101" s="10"/>
    </row>
    <row r="102" spans="1:12" ht="12.75">
      <c r="A102" s="1">
        <v>91</v>
      </c>
      <c r="B102" s="10" t="s">
        <v>69</v>
      </c>
      <c r="C102">
        <f>IF('muut muuttujat'!$G$3=2,1,0)</f>
        <v>0</v>
      </c>
      <c r="E102">
        <f t="shared" si="2"/>
        <v>0</v>
      </c>
      <c r="F102">
        <v>1</v>
      </c>
      <c r="K102" s="1"/>
      <c r="L102" s="10"/>
    </row>
    <row r="103" spans="1:12" ht="12.75">
      <c r="A103" s="1">
        <v>92</v>
      </c>
      <c r="B103" s="10" t="s">
        <v>68</v>
      </c>
      <c r="C103">
        <f>IF('muut muuttujat'!$G$3=2,1,0)</f>
        <v>0</v>
      </c>
      <c r="E103">
        <f t="shared" si="2"/>
        <v>0</v>
      </c>
      <c r="F103">
        <v>1</v>
      </c>
      <c r="K103" s="1"/>
      <c r="L103" s="10"/>
    </row>
    <row r="104" spans="1:12" ht="12.75">
      <c r="A104" s="1">
        <v>93</v>
      </c>
      <c r="B104" s="10" t="s">
        <v>66</v>
      </c>
      <c r="C104">
        <f>IF('muut muuttujat'!$G$3=2,1,0)</f>
        <v>0</v>
      </c>
      <c r="E104">
        <f t="shared" si="2"/>
        <v>0</v>
      </c>
      <c r="F104">
        <v>1</v>
      </c>
      <c r="K104" s="1"/>
      <c r="L104" s="10"/>
    </row>
    <row r="105" spans="1:12" ht="12.75">
      <c r="A105" s="1">
        <v>94</v>
      </c>
      <c r="B105" s="10" t="s">
        <v>136</v>
      </c>
      <c r="C105">
        <f>IF('muut muuttujat'!$G$3=2,1,0)</f>
        <v>0</v>
      </c>
      <c r="E105">
        <f t="shared" si="2"/>
        <v>0</v>
      </c>
      <c r="F105">
        <v>1</v>
      </c>
      <c r="H105">
        <v>1</v>
      </c>
      <c r="K105" s="1"/>
      <c r="L105" s="10"/>
    </row>
    <row r="106" spans="1:12" ht="12.75">
      <c r="A106" s="1">
        <v>95</v>
      </c>
      <c r="B106" s="10" t="s">
        <v>71</v>
      </c>
      <c r="C106">
        <f>IF('muut muuttujat'!$G$3=2,1,0)</f>
        <v>0</v>
      </c>
      <c r="E106">
        <f t="shared" si="2"/>
        <v>0</v>
      </c>
      <c r="F106">
        <v>1</v>
      </c>
      <c r="H106">
        <v>1</v>
      </c>
      <c r="K106" s="1"/>
      <c r="L106" s="10"/>
    </row>
    <row r="107" spans="1:12" ht="12.75">
      <c r="A107" s="1">
        <v>96</v>
      </c>
      <c r="B107" s="10" t="s">
        <v>70</v>
      </c>
      <c r="C107">
        <f>IF('muut muuttujat'!$G$3=2,1,0)</f>
        <v>0</v>
      </c>
      <c r="E107">
        <f t="shared" si="2"/>
        <v>0</v>
      </c>
      <c r="F107">
        <v>1</v>
      </c>
      <c r="H107">
        <v>1</v>
      </c>
      <c r="K107" s="1"/>
      <c r="L107" s="10"/>
    </row>
    <row r="108" spans="1:12" ht="12.75">
      <c r="A108" s="1">
        <v>97</v>
      </c>
      <c r="B108" s="10" t="s">
        <v>205</v>
      </c>
      <c r="I108">
        <v>1</v>
      </c>
      <c r="K108" s="1"/>
      <c r="L108" s="10"/>
    </row>
    <row r="109" spans="1:12" ht="12.75">
      <c r="A109" s="1">
        <v>98</v>
      </c>
      <c r="B109" s="10" t="s">
        <v>206</v>
      </c>
      <c r="I109">
        <v>1</v>
      </c>
      <c r="K109" s="1"/>
      <c r="L109" s="10"/>
    </row>
    <row r="110" spans="1:12" ht="12.75">
      <c r="A110" s="1">
        <v>99</v>
      </c>
      <c r="B110" s="10" t="s">
        <v>207</v>
      </c>
      <c r="I110">
        <v>1</v>
      </c>
      <c r="K110" s="1"/>
      <c r="L110" s="10"/>
    </row>
    <row r="111" spans="1:12" ht="12.75">
      <c r="A111" s="1">
        <v>100</v>
      </c>
      <c r="B111" s="10" t="s">
        <v>141</v>
      </c>
      <c r="C111">
        <f>IF('muut muuttujat'!$G$3=2,1,0)</f>
        <v>0</v>
      </c>
      <c r="E111">
        <f>IF(C111+D111&gt;1,1,0)</f>
        <v>0</v>
      </c>
      <c r="K111" s="1"/>
      <c r="L111" s="10"/>
    </row>
    <row r="112" spans="1:12" ht="12.75">
      <c r="A112" s="1">
        <v>101</v>
      </c>
      <c r="B112" s="10" t="s">
        <v>142</v>
      </c>
      <c r="C112">
        <f>IF('muut muuttujat'!$G$3=2,1,0)</f>
        <v>0</v>
      </c>
      <c r="E112">
        <f>IF(C112+D112&gt;1,1,0)</f>
        <v>0</v>
      </c>
      <c r="K112" s="1"/>
      <c r="L112" s="10"/>
    </row>
    <row r="113" spans="1:12" ht="12.75">
      <c r="A113" s="1">
        <v>102</v>
      </c>
      <c r="B113" s="10" t="s">
        <v>143</v>
      </c>
      <c r="C113">
        <f>IF('muut muuttujat'!$G$3=2,1,0)</f>
        <v>0</v>
      </c>
      <c r="E113">
        <f>IF(C113+D113&gt;1,1,0)</f>
        <v>0</v>
      </c>
      <c r="K113" s="1"/>
      <c r="L113" s="10"/>
    </row>
    <row r="114" spans="1:12" ht="12.75">
      <c r="A114" s="1">
        <v>103</v>
      </c>
      <c r="B114" s="10" t="s">
        <v>144</v>
      </c>
      <c r="C114">
        <f>IF('muut muuttujat'!$G$3=2,1,0)</f>
        <v>0</v>
      </c>
      <c r="E114">
        <f>IF(C114+D114&gt;1,1,0)</f>
        <v>0</v>
      </c>
      <c r="K114" s="1"/>
      <c r="L114" s="10"/>
    </row>
    <row r="115" spans="1:12" ht="12.75">
      <c r="A115" s="1">
        <v>104</v>
      </c>
      <c r="B115" s="1" t="s">
        <v>208</v>
      </c>
      <c r="I115">
        <v>1</v>
      </c>
      <c r="K115" s="1"/>
      <c r="L115" s="10"/>
    </row>
    <row r="116" spans="1:12" ht="12.75">
      <c r="A116" s="1">
        <v>105</v>
      </c>
      <c r="B116" s="10" t="s">
        <v>209</v>
      </c>
      <c r="C116">
        <f>IF('muut muuttujat'!$G$3=2,1,0)</f>
        <v>0</v>
      </c>
      <c r="E116">
        <f aca="true" t="shared" si="3" ref="E116:E121">IF(C116+D116&gt;1,1,0)</f>
        <v>0</v>
      </c>
      <c r="K116" s="1"/>
      <c r="L116" s="10"/>
    </row>
    <row r="117" spans="1:12" ht="12.75">
      <c r="A117" s="1">
        <v>106</v>
      </c>
      <c r="B117" s="10" t="s">
        <v>210</v>
      </c>
      <c r="C117">
        <f>IF('muut muuttujat'!$G$3=2,1,0)</f>
        <v>0</v>
      </c>
      <c r="E117">
        <f t="shared" si="3"/>
        <v>0</v>
      </c>
      <c r="K117" s="1"/>
      <c r="L117" s="10"/>
    </row>
    <row r="118" spans="1:12" ht="12.75">
      <c r="A118" s="1">
        <v>107</v>
      </c>
      <c r="B118" s="10" t="s">
        <v>211</v>
      </c>
      <c r="C118">
        <f>IF('muut muuttujat'!$G$3=2,1,0)</f>
        <v>0</v>
      </c>
      <c r="E118">
        <f t="shared" si="3"/>
        <v>0</v>
      </c>
      <c r="K118" s="1"/>
      <c r="L118" s="10"/>
    </row>
    <row r="119" spans="1:12" ht="12.75">
      <c r="A119" s="1">
        <v>108</v>
      </c>
      <c r="B119" s="10" t="s">
        <v>212</v>
      </c>
      <c r="C119">
        <f>IF('muut muuttujat'!$G$3=2,1,0)</f>
        <v>0</v>
      </c>
      <c r="E119">
        <f t="shared" si="3"/>
        <v>0</v>
      </c>
      <c r="K119" s="1"/>
      <c r="L119" s="10"/>
    </row>
    <row r="120" spans="1:12" ht="12.75">
      <c r="A120" s="1">
        <v>109</v>
      </c>
      <c r="B120" s="10" t="s">
        <v>213</v>
      </c>
      <c r="C120">
        <f>IF('muut muuttujat'!$G$3=2,1,0)</f>
        <v>0</v>
      </c>
      <c r="E120">
        <f t="shared" si="3"/>
        <v>0</v>
      </c>
      <c r="F120">
        <v>1</v>
      </c>
      <c r="K120" s="1"/>
      <c r="L120" s="10"/>
    </row>
    <row r="121" spans="1:12" ht="12.75">
      <c r="A121" s="1">
        <v>110</v>
      </c>
      <c r="B121" s="10" t="s">
        <v>214</v>
      </c>
      <c r="C121">
        <f>IF('muut muuttujat'!$G$3=2,1,0)</f>
        <v>0</v>
      </c>
      <c r="E121">
        <f t="shared" si="3"/>
        <v>0</v>
      </c>
      <c r="F121">
        <v>1</v>
      </c>
      <c r="K121" s="1"/>
      <c r="L121" s="10"/>
    </row>
    <row r="122" spans="1:12" ht="12.75">
      <c r="A122" s="1">
        <v>111</v>
      </c>
      <c r="B122" s="10" t="s">
        <v>215</v>
      </c>
      <c r="I122">
        <v>2</v>
      </c>
      <c r="K122" s="1"/>
      <c r="L122" s="10"/>
    </row>
    <row r="123" spans="1:12" ht="12.75">
      <c r="A123" s="1">
        <v>112</v>
      </c>
      <c r="B123" s="10" t="s">
        <v>137</v>
      </c>
      <c r="C123">
        <f>IF('muut muuttujat'!$G$3=2,1,0)</f>
        <v>0</v>
      </c>
      <c r="E123">
        <f aca="true" t="shared" si="4" ref="E123:E131">IF(C123+D123&gt;1,1,0)</f>
        <v>0</v>
      </c>
      <c r="K123" s="1"/>
      <c r="L123" s="10"/>
    </row>
    <row r="124" spans="1:12" ht="12.75">
      <c r="A124" s="1">
        <v>113</v>
      </c>
      <c r="B124" s="10" t="s">
        <v>138</v>
      </c>
      <c r="C124">
        <f>IF('muut muuttujat'!$G$3=2,1,0)</f>
        <v>0</v>
      </c>
      <c r="E124">
        <f t="shared" si="4"/>
        <v>0</v>
      </c>
      <c r="K124" s="1"/>
      <c r="L124" s="10"/>
    </row>
    <row r="125" spans="1:12" ht="12.75">
      <c r="A125" s="1">
        <v>114</v>
      </c>
      <c r="B125" s="10" t="s">
        <v>139</v>
      </c>
      <c r="C125">
        <f>IF('muut muuttujat'!$G$3=2,1,0)</f>
        <v>0</v>
      </c>
      <c r="E125">
        <f t="shared" si="4"/>
        <v>0</v>
      </c>
      <c r="K125" s="1"/>
      <c r="L125" s="10"/>
    </row>
    <row r="126" spans="1:12" ht="12.75">
      <c r="A126" s="1">
        <v>115</v>
      </c>
      <c r="B126" s="10" t="s">
        <v>140</v>
      </c>
      <c r="C126">
        <f>IF('muut muuttujat'!$G$3=2,1,0)</f>
        <v>0</v>
      </c>
      <c r="E126">
        <f t="shared" si="4"/>
        <v>0</v>
      </c>
      <c r="K126" s="1"/>
      <c r="L126" s="10"/>
    </row>
    <row r="127" spans="1:12" ht="12.75">
      <c r="A127" s="1">
        <v>116</v>
      </c>
      <c r="B127" s="1" t="s">
        <v>215</v>
      </c>
      <c r="C127">
        <f>IF('muut muuttujat'!$G$3=2,1,0)</f>
        <v>0</v>
      </c>
      <c r="E127">
        <f t="shared" si="4"/>
        <v>0</v>
      </c>
      <c r="I127">
        <v>2</v>
      </c>
      <c r="K127" s="1"/>
      <c r="L127" s="10"/>
    </row>
    <row r="128" spans="1:12" ht="12.75">
      <c r="A128" s="1">
        <v>117</v>
      </c>
      <c r="B128" s="1" t="s">
        <v>466</v>
      </c>
      <c r="C128">
        <f>IF('muut muuttujat'!$G$3=2,1,0)</f>
        <v>0</v>
      </c>
      <c r="E128">
        <f t="shared" si="4"/>
        <v>0</v>
      </c>
      <c r="K128" s="1"/>
      <c r="L128" s="10"/>
    </row>
    <row r="129" spans="1:12" ht="12.75">
      <c r="A129" s="1">
        <v>118</v>
      </c>
      <c r="B129" s="1" t="s">
        <v>467</v>
      </c>
      <c r="C129">
        <f>IF('muut muuttujat'!$G$3=2,1,0)</f>
        <v>0</v>
      </c>
      <c r="E129">
        <f t="shared" si="4"/>
        <v>0</v>
      </c>
      <c r="K129" s="1"/>
      <c r="L129" s="10"/>
    </row>
    <row r="130" spans="1:5" ht="12.75">
      <c r="A130" s="1">
        <v>119</v>
      </c>
      <c r="B130" s="1" t="s">
        <v>468</v>
      </c>
      <c r="C130">
        <f>IF('muut muuttujat'!$G$3=2,1,0)</f>
        <v>0</v>
      </c>
      <c r="E130">
        <f t="shared" si="4"/>
        <v>0</v>
      </c>
    </row>
    <row r="131" spans="1:5" ht="12.75">
      <c r="A131" s="1">
        <v>120</v>
      </c>
      <c r="B131" s="1" t="s">
        <v>469</v>
      </c>
      <c r="C131">
        <f>IF('muut muuttujat'!$G$3=2,1,0)</f>
        <v>0</v>
      </c>
      <c r="E131">
        <f t="shared" si="4"/>
        <v>0</v>
      </c>
    </row>
    <row r="148" ht="12.75">
      <c r="B148" s="15"/>
    </row>
    <row r="149" ht="12.75">
      <c r="B149" s="3"/>
    </row>
    <row r="151" ht="12.75">
      <c r="B151" s="16"/>
    </row>
    <row r="153" ht="12.75">
      <c r="B153" s="15"/>
    </row>
    <row r="160" ht="12.75">
      <c r="B160" s="12"/>
    </row>
    <row r="161" ht="12.75">
      <c r="B161" s="18"/>
    </row>
    <row r="163" ht="12.75">
      <c r="B163" s="16"/>
    </row>
    <row r="179" ht="12.75">
      <c r="B179" s="3"/>
    </row>
    <row r="183" ht="12.75">
      <c r="B183" s="3"/>
    </row>
    <row r="189" ht="12.75">
      <c r="B189" s="3"/>
    </row>
    <row r="195" ht="12.75">
      <c r="B195" s="3"/>
    </row>
    <row r="202" ht="12.75">
      <c r="B202" s="3"/>
    </row>
    <row r="206" ht="12.75">
      <c r="B206" s="3"/>
    </row>
    <row r="211" ht="12.75">
      <c r="B211" s="13"/>
    </row>
    <row r="212" ht="12.75">
      <c r="B212" s="13"/>
    </row>
    <row r="214" ht="12.75">
      <c r="B214" s="13"/>
    </row>
    <row r="215" ht="12.75">
      <c r="B215" s="13"/>
    </row>
    <row r="216" ht="12.75">
      <c r="B216" s="3"/>
    </row>
    <row r="222" ht="12.75">
      <c r="B222" s="3"/>
    </row>
    <row r="223" ht="12.75">
      <c r="B223" s="13"/>
    </row>
    <row r="226" ht="12.75">
      <c r="B226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A1:AL219"/>
  <sheetViews>
    <sheetView zoomScale="90" zoomScaleNormal="90" zoomScalePageLayoutView="0" workbookViewId="0" topLeftCell="A1">
      <pane xSplit="2" ySplit="5" topLeftCell="C66" activePane="bottomRight" state="frozen"/>
      <selection pane="topLeft" activeCell="G3" sqref="G3"/>
      <selection pane="topRight" activeCell="G3" sqref="G3"/>
      <selection pane="bottomLeft" activeCell="G3" sqref="G3"/>
      <selection pane="bottomRight" activeCell="E154" sqref="E154"/>
    </sheetView>
  </sheetViews>
  <sheetFormatPr defaultColWidth="9.140625" defaultRowHeight="12.75"/>
  <cols>
    <col min="1" max="1" width="5.00390625" style="1" customWidth="1"/>
    <col min="2" max="2" width="67.421875" style="1" customWidth="1"/>
    <col min="3" max="3" width="10.421875" style="1" customWidth="1"/>
    <col min="4" max="4" width="8.00390625" style="3" customWidth="1"/>
    <col min="5" max="5" width="8.140625" style="1" customWidth="1"/>
    <col min="6" max="6" width="8.421875" style="1" customWidth="1"/>
    <col min="7" max="7" width="8.421875" style="0" customWidth="1"/>
    <col min="8" max="10" width="8.421875" style="2" customWidth="1"/>
    <col min="11" max="15" width="8.421875" style="1" customWidth="1"/>
    <col min="16" max="16" width="12.00390625" style="1" customWidth="1"/>
    <col min="17" max="17" width="14.57421875" style="1" customWidth="1"/>
    <col min="18" max="19" width="7.57421875" style="1" customWidth="1"/>
    <col min="20" max="23" width="5.421875" style="1" customWidth="1"/>
    <col min="24" max="29" width="6.57421875" style="1" customWidth="1"/>
    <col min="30" max="30" width="9.140625" style="1" customWidth="1"/>
    <col min="31" max="31" width="9.57421875" style="1" bestFit="1" customWidth="1"/>
    <col min="32" max="16384" width="9.140625" style="1" customWidth="1"/>
  </cols>
  <sheetData>
    <row r="1" spans="2:11" ht="16.5">
      <c r="B1" s="4" t="s">
        <v>512</v>
      </c>
      <c r="C1" s="124" t="s">
        <v>511</v>
      </c>
      <c r="G1" s="1"/>
      <c r="I1" s="5"/>
      <c r="J1" s="5"/>
      <c r="K1" s="5"/>
    </row>
    <row r="2" spans="5:17" ht="12.75">
      <c r="E2" s="11"/>
      <c r="F2" s="11"/>
      <c r="G2" s="11"/>
      <c r="H2" s="11"/>
      <c r="I2" s="11"/>
      <c r="J2" s="11"/>
      <c r="O2" s="11"/>
      <c r="P2" s="11"/>
      <c r="Q2" s="11"/>
    </row>
    <row r="3" spans="1:11" ht="13.5" thickBot="1">
      <c r="A3" s="1" t="s">
        <v>5</v>
      </c>
      <c r="C3" s="7" t="s">
        <v>72</v>
      </c>
      <c r="D3" s="7" t="s">
        <v>72</v>
      </c>
      <c r="E3" s="9" t="s">
        <v>73</v>
      </c>
      <c r="F3" s="9" t="s">
        <v>73</v>
      </c>
      <c r="G3" s="1"/>
      <c r="I3" s="5"/>
      <c r="J3" s="5"/>
      <c r="K3" s="5"/>
    </row>
    <row r="4" spans="1:31" ht="13.5" thickBot="1">
      <c r="A4" s="23">
        <v>1</v>
      </c>
      <c r="B4" s="8" t="s">
        <v>1</v>
      </c>
      <c r="C4" s="9" t="s">
        <v>10</v>
      </c>
      <c r="D4" s="9" t="s">
        <v>10</v>
      </c>
      <c r="E4" s="9" t="s">
        <v>10</v>
      </c>
      <c r="F4" s="9" t="s">
        <v>10</v>
      </c>
      <c r="G4" s="3" t="s">
        <v>9</v>
      </c>
      <c r="H4" s="3" t="s">
        <v>9</v>
      </c>
      <c r="I4" s="9" t="s">
        <v>12</v>
      </c>
      <c r="J4" s="9" t="s">
        <v>12</v>
      </c>
      <c r="K4" s="9" t="s">
        <v>13</v>
      </c>
      <c r="L4" s="9" t="s">
        <v>13</v>
      </c>
      <c r="M4" s="3" t="s">
        <v>14</v>
      </c>
      <c r="N4" s="3" t="s">
        <v>14</v>
      </c>
      <c r="O4" s="3" t="s">
        <v>15</v>
      </c>
      <c r="P4" s="3" t="s">
        <v>15</v>
      </c>
      <c r="Q4" s="3" t="s">
        <v>216</v>
      </c>
      <c r="R4" s="64" t="s">
        <v>90</v>
      </c>
      <c r="S4" s="64"/>
      <c r="T4" s="60"/>
      <c r="U4" s="60"/>
      <c r="V4" s="60"/>
      <c r="W4" s="63"/>
      <c r="X4" s="64" t="s">
        <v>103</v>
      </c>
      <c r="Y4" s="64"/>
      <c r="Z4" s="60"/>
      <c r="AA4" s="60"/>
      <c r="AB4" s="60"/>
      <c r="AC4" s="63"/>
      <c r="AE4" s="1" t="s">
        <v>90</v>
      </c>
    </row>
    <row r="5" spans="2:36" ht="13.5" thickBot="1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217</v>
      </c>
      <c r="R5" s="97" t="s">
        <v>96</v>
      </c>
      <c r="S5" s="98" t="s">
        <v>91</v>
      </c>
      <c r="T5" s="99" t="s">
        <v>92</v>
      </c>
      <c r="U5" s="99" t="s">
        <v>93</v>
      </c>
      <c r="V5" s="99" t="s">
        <v>94</v>
      </c>
      <c r="W5" s="100" t="s">
        <v>95</v>
      </c>
      <c r="X5" s="97" t="s">
        <v>96</v>
      </c>
      <c r="Y5" s="98" t="s">
        <v>91</v>
      </c>
      <c r="Z5" s="99" t="s">
        <v>92</v>
      </c>
      <c r="AA5" s="99" t="s">
        <v>93</v>
      </c>
      <c r="AB5" s="99" t="s">
        <v>94</v>
      </c>
      <c r="AC5" s="100" t="s">
        <v>95</v>
      </c>
      <c r="AE5" s="1" t="s">
        <v>96</v>
      </c>
      <c r="AF5" s="1" t="s">
        <v>91</v>
      </c>
      <c r="AG5" s="1" t="s">
        <v>92</v>
      </c>
      <c r="AH5" s="1" t="s">
        <v>93</v>
      </c>
      <c r="AI5" s="1" t="s">
        <v>94</v>
      </c>
      <c r="AJ5" s="1" t="s">
        <v>95</v>
      </c>
    </row>
    <row r="6" spans="1:38" ht="12.75">
      <c r="A6" s="1">
        <v>1</v>
      </c>
      <c r="B6" s="10" t="s">
        <v>234</v>
      </c>
      <c r="C6" s="191">
        <f>VLOOKUP(MID(B6,1,8)-0,'1.8.2022'!$B$9:$G$160,3,FALSE)</f>
        <v>3916.97</v>
      </c>
      <c r="D6" s="191">
        <f>VLOOKUP(MID(B6,1,8)-0,'1.8.2022'!$B$9:$G$160,5,FALSE)</f>
        <v>3879.51</v>
      </c>
      <c r="E6" s="11">
        <f>IF('muut muuttujat'!$G$3=1,C6,KÄYTTÖTAULU!$B$13)</f>
        <v>3916.97</v>
      </c>
      <c r="F6" s="11">
        <f>IF('muut muuttujat'!$G$3=1,D6,KÄYTTÖTAULU!$B$13)</f>
        <v>3879.51</v>
      </c>
      <c r="G6" s="11"/>
      <c r="H6" s="247"/>
      <c r="I6" s="11"/>
      <c r="J6" s="11"/>
      <c r="O6" s="11"/>
      <c r="P6" s="11"/>
      <c r="Q6" s="11"/>
      <c r="R6" s="59">
        <v>0</v>
      </c>
      <c r="S6" s="61">
        <v>0</v>
      </c>
      <c r="T6" s="61">
        <v>0</v>
      </c>
      <c r="U6" s="61">
        <v>5</v>
      </c>
      <c r="V6" s="61">
        <v>5</v>
      </c>
      <c r="W6" s="62">
        <v>10</v>
      </c>
      <c r="X6" s="61">
        <v>1</v>
      </c>
      <c r="Y6" s="61">
        <f>1+S6/100</f>
        <v>1</v>
      </c>
      <c r="Z6" s="61">
        <f>(1+T6/100)*Y6</f>
        <v>1</v>
      </c>
      <c r="AA6" s="61">
        <f>(1+U6/100)*Z6</f>
        <v>1.05</v>
      </c>
      <c r="AB6" s="61">
        <f>(1+V6/100)*AA6</f>
        <v>1.1025</v>
      </c>
      <c r="AC6" s="62">
        <f>(1+W6/100)*AB6</f>
        <v>1.2127500000000002</v>
      </c>
      <c r="AE6" s="1">
        <v>0</v>
      </c>
      <c r="AF6" s="1">
        <v>0</v>
      </c>
      <c r="AG6" s="1">
        <v>0</v>
      </c>
      <c r="AH6" s="1">
        <v>5</v>
      </c>
      <c r="AI6" s="1">
        <v>5</v>
      </c>
      <c r="AJ6" s="1">
        <v>10</v>
      </c>
      <c r="AL6" s="1">
        <f>AG6-T6</f>
        <v>0</v>
      </c>
    </row>
    <row r="7" spans="1:38" ht="12.75">
      <c r="A7" s="1">
        <v>2</v>
      </c>
      <c r="B7" s="10" t="s">
        <v>235</v>
      </c>
      <c r="C7" s="191">
        <f>VLOOKUP(MID(B7,1,8)-0,'1.8.2022'!$B$9:$G$160,3,FALSE)</f>
        <v>4046.17</v>
      </c>
      <c r="D7" s="191">
        <f>VLOOKUP(MID(B7,1,8)-0,'1.8.2022'!$B$9:$G$160,5,FALSE)</f>
        <v>4007.45</v>
      </c>
      <c r="E7" s="11">
        <f>IF('muut muuttujat'!$G$3=1,C7,KÄYTTÖTAULU!$B$13)</f>
        <v>4046.17</v>
      </c>
      <c r="F7" s="11">
        <f>IF('muut muuttujat'!$G$3=1,D7,KÄYTTÖTAULU!$B$13)</f>
        <v>4007.45</v>
      </c>
      <c r="G7" s="11"/>
      <c r="H7" s="247"/>
      <c r="I7" s="11"/>
      <c r="J7" s="11"/>
      <c r="O7" s="11"/>
      <c r="P7" s="11"/>
      <c r="Q7" s="11"/>
      <c r="R7" s="24">
        <v>0</v>
      </c>
      <c r="S7" s="25">
        <v>0</v>
      </c>
      <c r="T7" s="25">
        <v>0</v>
      </c>
      <c r="U7" s="25">
        <v>5</v>
      </c>
      <c r="V7" s="25">
        <v>5</v>
      </c>
      <c r="W7" s="49">
        <v>10</v>
      </c>
      <c r="X7" s="25">
        <v>1</v>
      </c>
      <c r="Y7" s="25">
        <f aca="true" t="shared" si="0" ref="Y7:Y80">1+S7/100</f>
        <v>1</v>
      </c>
      <c r="Z7" s="25">
        <f aca="true" t="shared" si="1" ref="Z7:Z80">(1+T7/100)*Y7</f>
        <v>1</v>
      </c>
      <c r="AA7" s="25">
        <f aca="true" t="shared" si="2" ref="AA7:AA80">(1+U7/100)*Z7</f>
        <v>1.05</v>
      </c>
      <c r="AB7" s="25">
        <f>(1+V7/100)*AA7</f>
        <v>1.1025</v>
      </c>
      <c r="AC7" s="49">
        <f>(1+W7/100)*AB7</f>
        <v>1.2127500000000002</v>
      </c>
      <c r="AE7" s="1">
        <v>0</v>
      </c>
      <c r="AF7" s="1">
        <v>0</v>
      </c>
      <c r="AG7" s="1">
        <v>0</v>
      </c>
      <c r="AH7" s="1">
        <v>5</v>
      </c>
      <c r="AI7" s="1">
        <v>5</v>
      </c>
      <c r="AJ7" s="1">
        <v>10</v>
      </c>
      <c r="AL7" s="1">
        <f aca="true" t="shared" si="3" ref="AL7:AL75">AG7-T7</f>
        <v>0</v>
      </c>
    </row>
    <row r="8" spans="1:38" ht="12.75">
      <c r="A8" s="1">
        <v>3</v>
      </c>
      <c r="B8" s="10" t="s">
        <v>350</v>
      </c>
      <c r="C8" s="191">
        <f>VLOOKUP(MID(B8,1,8)-0,'1.8.2022'!$B$9:$G$160,3,FALSE)</f>
        <v>4206.68</v>
      </c>
      <c r="D8" s="191">
        <f>VLOOKUP(MID(B8,1,8)-0,'1.8.2022'!$B$9:$G$160,5,FALSE)</f>
        <v>4166.4</v>
      </c>
      <c r="E8" s="11">
        <f>IF('muut muuttujat'!$G$3=1,C8,KÄYTTÖTAULU!$B$13)</f>
        <v>4206.68</v>
      </c>
      <c r="F8" s="11">
        <f>IF('muut muuttujat'!$G$3=1,D8,KÄYTTÖTAULU!$B$13)</f>
        <v>4166.4</v>
      </c>
      <c r="G8" s="11"/>
      <c r="H8" s="11"/>
      <c r="I8" s="11"/>
      <c r="J8" s="11"/>
      <c r="O8" s="11"/>
      <c r="P8" s="11"/>
      <c r="Q8" s="11"/>
      <c r="R8" s="24">
        <v>0</v>
      </c>
      <c r="S8" s="25">
        <v>0</v>
      </c>
      <c r="T8" s="25">
        <v>0</v>
      </c>
      <c r="U8" s="25">
        <v>5</v>
      </c>
      <c r="V8" s="25">
        <v>5</v>
      </c>
      <c r="W8" s="49">
        <v>10</v>
      </c>
      <c r="X8" s="25">
        <v>1</v>
      </c>
      <c r="Y8" s="25">
        <f t="shared" si="0"/>
        <v>1</v>
      </c>
      <c r="Z8" s="25">
        <f t="shared" si="1"/>
        <v>1</v>
      </c>
      <c r="AA8" s="25">
        <f t="shared" si="2"/>
        <v>1.05</v>
      </c>
      <c r="AB8" s="25">
        <f>(1+V8/100)*AA8</f>
        <v>1.1025</v>
      </c>
      <c r="AC8" s="49">
        <f aca="true" t="shared" si="4" ref="AC8:AC81">(1+W8/100)*AB8</f>
        <v>1.2127500000000002</v>
      </c>
      <c r="AE8" s="1">
        <v>0</v>
      </c>
      <c r="AF8" s="1">
        <v>0</v>
      </c>
      <c r="AG8" s="1">
        <v>0</v>
      </c>
      <c r="AH8" s="1">
        <v>5</v>
      </c>
      <c r="AI8" s="1">
        <v>5</v>
      </c>
      <c r="AJ8" s="1">
        <v>10</v>
      </c>
      <c r="AL8" s="1">
        <f t="shared" si="3"/>
        <v>0</v>
      </c>
    </row>
    <row r="9" spans="1:38" ht="12.75">
      <c r="A9" s="1">
        <v>4</v>
      </c>
      <c r="B9" s="10" t="s">
        <v>351</v>
      </c>
      <c r="C9" s="191">
        <f>VLOOKUP(MID(B9,1,8)-0,'1.8.2022'!$B$9:$G$160,3,FALSE)</f>
        <v>4385.49</v>
      </c>
      <c r="D9" s="191">
        <f>VLOOKUP(MID(B9,1,8)-0,'1.8.2022'!$B$9:$G$160,5,FALSE)</f>
        <v>4343.5</v>
      </c>
      <c r="E9" s="11">
        <f>IF('muut muuttujat'!$G$3=1,C9,KÄYTTÖTAULU!$B$13)</f>
        <v>4385.49</v>
      </c>
      <c r="F9" s="11">
        <f>IF('muut muuttujat'!$G$3=1,D9,KÄYTTÖTAULU!$B$13)</f>
        <v>4343.5</v>
      </c>
      <c r="G9" s="11"/>
      <c r="H9" s="11"/>
      <c r="I9" s="11"/>
      <c r="J9" s="11"/>
      <c r="O9" s="11"/>
      <c r="P9" s="11"/>
      <c r="Q9" s="11"/>
      <c r="R9" s="24">
        <v>0</v>
      </c>
      <c r="S9" s="25">
        <v>0</v>
      </c>
      <c r="T9" s="25">
        <v>0</v>
      </c>
      <c r="U9" s="25">
        <v>5</v>
      </c>
      <c r="V9" s="25">
        <v>5</v>
      </c>
      <c r="W9" s="49">
        <v>10</v>
      </c>
      <c r="X9" s="25">
        <v>1</v>
      </c>
      <c r="Y9" s="25">
        <f aca="true" t="shared" si="5" ref="Y9:Y16">1+S9/100</f>
        <v>1</v>
      </c>
      <c r="Z9" s="25">
        <f aca="true" t="shared" si="6" ref="Z9:Z16">(1+T9/100)*Y9</f>
        <v>1</v>
      </c>
      <c r="AA9" s="25">
        <f aca="true" t="shared" si="7" ref="AA9:AA16">(1+U9/100)*Z9</f>
        <v>1.05</v>
      </c>
      <c r="AB9" s="25">
        <f aca="true" t="shared" si="8" ref="AB9:AB16">(1+V9/100)*AA9</f>
        <v>1.1025</v>
      </c>
      <c r="AC9" s="49">
        <f aca="true" t="shared" si="9" ref="AC9:AC16">(1+W9/100)*AB9</f>
        <v>1.2127500000000002</v>
      </c>
      <c r="AE9" s="1">
        <v>0</v>
      </c>
      <c r="AF9" s="1">
        <v>0</v>
      </c>
      <c r="AG9" s="1">
        <v>0</v>
      </c>
      <c r="AH9" s="1">
        <v>5</v>
      </c>
      <c r="AI9" s="1">
        <v>5</v>
      </c>
      <c r="AJ9" s="1">
        <v>10</v>
      </c>
      <c r="AL9" s="1">
        <f t="shared" si="3"/>
        <v>0</v>
      </c>
    </row>
    <row r="10" spans="1:38" ht="12.75">
      <c r="A10" s="1">
        <v>5</v>
      </c>
      <c r="B10" s="10" t="s">
        <v>236</v>
      </c>
      <c r="C10" s="191">
        <f>VLOOKUP(MID(B10,1,8)-0,'1.8.2022'!$B$9:$G$160,3,FALSE)</f>
        <v>4046.17</v>
      </c>
      <c r="D10" s="191">
        <f>VLOOKUP(MID(B10,1,8)-0,'1.8.2022'!$B$9:$G$160,5,FALSE)</f>
        <v>4007.45</v>
      </c>
      <c r="E10" s="11">
        <f>IF('muut muuttujat'!$G$3=1,C10,KÄYTTÖTAULU!$B$13)</f>
        <v>4046.17</v>
      </c>
      <c r="F10" s="11">
        <f>IF('muut muuttujat'!$G$3=1,D10,KÄYTTÖTAULU!$B$13)</f>
        <v>4007.45</v>
      </c>
      <c r="G10" s="11"/>
      <c r="H10" s="11"/>
      <c r="I10" s="11"/>
      <c r="J10" s="11"/>
      <c r="O10" s="11"/>
      <c r="P10" s="11"/>
      <c r="Q10" s="11"/>
      <c r="R10" s="24">
        <v>0</v>
      </c>
      <c r="S10" s="25">
        <v>0</v>
      </c>
      <c r="T10" s="25">
        <v>0</v>
      </c>
      <c r="U10" s="25">
        <v>5</v>
      </c>
      <c r="V10" s="25">
        <v>5</v>
      </c>
      <c r="W10" s="49">
        <v>10</v>
      </c>
      <c r="X10" s="25">
        <v>1</v>
      </c>
      <c r="Y10" s="25">
        <f t="shared" si="5"/>
        <v>1</v>
      </c>
      <c r="Z10" s="25">
        <f t="shared" si="6"/>
        <v>1</v>
      </c>
      <c r="AA10" s="25">
        <f t="shared" si="7"/>
        <v>1.05</v>
      </c>
      <c r="AB10" s="25">
        <f t="shared" si="8"/>
        <v>1.1025</v>
      </c>
      <c r="AC10" s="49">
        <f t="shared" si="9"/>
        <v>1.2127500000000002</v>
      </c>
      <c r="AE10" s="1">
        <v>0</v>
      </c>
      <c r="AF10" s="1">
        <v>0</v>
      </c>
      <c r="AG10" s="1">
        <v>0</v>
      </c>
      <c r="AH10" s="1">
        <v>5</v>
      </c>
      <c r="AI10" s="1">
        <v>5</v>
      </c>
      <c r="AJ10" s="1">
        <v>10</v>
      </c>
      <c r="AL10" s="1">
        <f t="shared" si="3"/>
        <v>0</v>
      </c>
    </row>
    <row r="11" spans="1:38" ht="12.75">
      <c r="A11" s="1">
        <v>6</v>
      </c>
      <c r="B11" s="10" t="s">
        <v>237</v>
      </c>
      <c r="C11" s="191">
        <f>VLOOKUP(MID(B11,1,8)-0,'1.8.2022'!$B$9:$G$160,3,FALSE)</f>
        <v>4376.13</v>
      </c>
      <c r="D11" s="191">
        <f>VLOOKUP(MID(B11,1,8)-0,'1.8.2022'!$B$9:$G$160,5,FALSE)</f>
        <v>4334.25</v>
      </c>
      <c r="E11" s="11">
        <f>IF('muut muuttujat'!$G$3=1,C11,KÄYTTÖTAULU!$B$13)</f>
        <v>4376.13</v>
      </c>
      <c r="F11" s="11">
        <f>IF('muut muuttujat'!$G$3=1,D11,KÄYTTÖTAULU!$B$13)</f>
        <v>4334.25</v>
      </c>
      <c r="G11" s="11"/>
      <c r="H11" s="11"/>
      <c r="I11" s="11"/>
      <c r="J11" s="11"/>
      <c r="O11" s="11"/>
      <c r="P11" s="11"/>
      <c r="Q11" s="11"/>
      <c r="R11" s="24">
        <v>0</v>
      </c>
      <c r="S11" s="25">
        <v>0</v>
      </c>
      <c r="T11" s="25">
        <v>0</v>
      </c>
      <c r="U11" s="25">
        <v>5</v>
      </c>
      <c r="V11" s="25">
        <v>5</v>
      </c>
      <c r="W11" s="49">
        <v>10</v>
      </c>
      <c r="X11" s="25">
        <v>1</v>
      </c>
      <c r="Y11" s="25">
        <f t="shared" si="5"/>
        <v>1</v>
      </c>
      <c r="Z11" s="25">
        <f t="shared" si="6"/>
        <v>1</v>
      </c>
      <c r="AA11" s="25">
        <f t="shared" si="7"/>
        <v>1.05</v>
      </c>
      <c r="AB11" s="25">
        <f t="shared" si="8"/>
        <v>1.1025</v>
      </c>
      <c r="AC11" s="49">
        <f t="shared" si="9"/>
        <v>1.2127500000000002</v>
      </c>
      <c r="AE11" s="1">
        <v>0</v>
      </c>
      <c r="AF11" s="1">
        <v>0</v>
      </c>
      <c r="AG11" s="1">
        <v>0</v>
      </c>
      <c r="AH11" s="1">
        <v>5</v>
      </c>
      <c r="AI11" s="1">
        <v>5</v>
      </c>
      <c r="AJ11" s="1">
        <v>10</v>
      </c>
      <c r="AL11" s="1">
        <f t="shared" si="3"/>
        <v>0</v>
      </c>
    </row>
    <row r="12" spans="1:38" ht="12.75">
      <c r="A12" s="1">
        <v>7</v>
      </c>
      <c r="B12" s="10" t="s">
        <v>238</v>
      </c>
      <c r="C12" s="191">
        <f>VLOOKUP(MID(B12,1,8)-0,'1.8.2022'!$B$9:$G$160,3,FALSE)</f>
        <v>4566.4</v>
      </c>
      <c r="D12" s="191">
        <f>VLOOKUP(MID(B12,1,8)-0,'1.8.2022'!$B$9:$G$160,5,FALSE)</f>
        <v>4522.74</v>
      </c>
      <c r="E12" s="11">
        <f>IF('muut muuttujat'!$G$3=1,C12,KÄYTTÖTAULU!$B$13)</f>
        <v>4566.4</v>
      </c>
      <c r="F12" s="11">
        <f>IF('muut muuttujat'!$G$3=1,D12,KÄYTTÖTAULU!$B$13)</f>
        <v>4522.74</v>
      </c>
      <c r="G12" s="11"/>
      <c r="H12" s="11"/>
      <c r="I12" s="11"/>
      <c r="J12" s="11"/>
      <c r="O12" s="11"/>
      <c r="P12" s="11"/>
      <c r="Q12" s="11"/>
      <c r="R12" s="24">
        <v>0</v>
      </c>
      <c r="S12" s="25">
        <v>0</v>
      </c>
      <c r="T12" s="25">
        <v>0</v>
      </c>
      <c r="U12" s="25">
        <v>5</v>
      </c>
      <c r="V12" s="25">
        <v>5</v>
      </c>
      <c r="W12" s="49">
        <v>10</v>
      </c>
      <c r="X12" s="25">
        <v>1</v>
      </c>
      <c r="Y12" s="25">
        <f t="shared" si="5"/>
        <v>1</v>
      </c>
      <c r="Z12" s="25">
        <f t="shared" si="6"/>
        <v>1</v>
      </c>
      <c r="AA12" s="25">
        <f t="shared" si="7"/>
        <v>1.05</v>
      </c>
      <c r="AB12" s="25">
        <f t="shared" si="8"/>
        <v>1.1025</v>
      </c>
      <c r="AC12" s="49">
        <f t="shared" si="9"/>
        <v>1.2127500000000002</v>
      </c>
      <c r="AE12" s="1">
        <v>0</v>
      </c>
      <c r="AF12" s="1">
        <v>0</v>
      </c>
      <c r="AG12" s="1">
        <v>0</v>
      </c>
      <c r="AH12" s="1">
        <v>5</v>
      </c>
      <c r="AI12" s="1">
        <v>5</v>
      </c>
      <c r="AJ12" s="1">
        <v>10</v>
      </c>
      <c r="AL12" s="1">
        <f t="shared" si="3"/>
        <v>0</v>
      </c>
    </row>
    <row r="13" spans="1:38" ht="12.75">
      <c r="A13" s="1">
        <v>8</v>
      </c>
      <c r="B13" s="10" t="s">
        <v>358</v>
      </c>
      <c r="C13" s="191">
        <f>VLOOKUP(MID(B13,1,8)-0,'1.8.2022'!$B$9:$G$160,3,FALSE)</f>
        <v>4760.64</v>
      </c>
      <c r="D13" s="191">
        <f>VLOOKUP(MID(B13,1,8)-0,'1.8.2022'!$B$9:$G$160,5,FALSE)</f>
        <v>4715.06</v>
      </c>
      <c r="E13" s="11">
        <f>IF('muut muuttujat'!$G$3=1,C13,KÄYTTÖTAULU!$B$13)</f>
        <v>4760.64</v>
      </c>
      <c r="F13" s="11">
        <f>IF('muut muuttujat'!$G$3=1,D13,KÄYTTÖTAULU!$B$13)</f>
        <v>4715.06</v>
      </c>
      <c r="G13" s="11"/>
      <c r="H13" s="11"/>
      <c r="I13" s="11"/>
      <c r="J13" s="11"/>
      <c r="O13" s="11"/>
      <c r="P13" s="11"/>
      <c r="Q13" s="11"/>
      <c r="R13" s="24">
        <v>0</v>
      </c>
      <c r="S13" s="25">
        <v>0</v>
      </c>
      <c r="T13" s="25">
        <v>0</v>
      </c>
      <c r="U13" s="25">
        <v>5</v>
      </c>
      <c r="V13" s="25">
        <v>5</v>
      </c>
      <c r="W13" s="49">
        <v>10</v>
      </c>
      <c r="X13" s="25">
        <v>1</v>
      </c>
      <c r="Y13" s="25">
        <f t="shared" si="5"/>
        <v>1</v>
      </c>
      <c r="Z13" s="25">
        <f t="shared" si="6"/>
        <v>1</v>
      </c>
      <c r="AA13" s="25">
        <f t="shared" si="7"/>
        <v>1.05</v>
      </c>
      <c r="AB13" s="25">
        <f t="shared" si="8"/>
        <v>1.1025</v>
      </c>
      <c r="AC13" s="49">
        <f t="shared" si="9"/>
        <v>1.2127500000000002</v>
      </c>
      <c r="AE13" s="1">
        <v>0</v>
      </c>
      <c r="AF13" s="1">
        <v>0</v>
      </c>
      <c r="AG13" s="1">
        <v>0</v>
      </c>
      <c r="AH13" s="1">
        <v>5</v>
      </c>
      <c r="AI13" s="1">
        <v>5</v>
      </c>
      <c r="AJ13" s="1">
        <v>10</v>
      </c>
      <c r="AL13" s="1">
        <f t="shared" si="3"/>
        <v>0</v>
      </c>
    </row>
    <row r="14" spans="1:38" ht="12.75">
      <c r="A14" s="1">
        <v>9</v>
      </c>
      <c r="B14" s="10" t="s">
        <v>497</v>
      </c>
      <c r="C14" s="191">
        <f>VLOOKUP(MID(B14,1,8)-0,'1.8.2022'!$B$9:$G$160,3,FALSE)</f>
        <v>4962.98</v>
      </c>
      <c r="D14" s="191">
        <f>VLOOKUP(MID(B14,1,8)-0,'1.8.2022'!$B$9:$G$160,5,FALSE)</f>
        <v>4915.48</v>
      </c>
      <c r="E14" s="11">
        <f>IF('muut muuttujat'!$G$3=1,C14,KÄYTTÖTAULU!$B$13)</f>
        <v>4962.98</v>
      </c>
      <c r="F14" s="11">
        <f>IF('muut muuttujat'!$G$3=1,D14,KÄYTTÖTAULU!$B$13)</f>
        <v>4915.48</v>
      </c>
      <c r="G14" s="11"/>
      <c r="H14" s="11"/>
      <c r="I14" s="11"/>
      <c r="J14" s="11"/>
      <c r="O14" s="11"/>
      <c r="P14" s="11"/>
      <c r="Q14" s="11"/>
      <c r="R14" s="24">
        <v>0</v>
      </c>
      <c r="S14" s="25">
        <v>0</v>
      </c>
      <c r="T14" s="25">
        <v>0</v>
      </c>
      <c r="U14" s="25">
        <v>5</v>
      </c>
      <c r="V14" s="25">
        <v>5</v>
      </c>
      <c r="W14" s="49">
        <v>10</v>
      </c>
      <c r="X14" s="25">
        <v>1</v>
      </c>
      <c r="Y14" s="25">
        <f t="shared" si="5"/>
        <v>1</v>
      </c>
      <c r="Z14" s="25">
        <f t="shared" si="6"/>
        <v>1</v>
      </c>
      <c r="AA14" s="25">
        <f t="shared" si="7"/>
        <v>1.05</v>
      </c>
      <c r="AB14" s="25">
        <f t="shared" si="8"/>
        <v>1.1025</v>
      </c>
      <c r="AC14" s="49">
        <f t="shared" si="9"/>
        <v>1.2127500000000002</v>
      </c>
      <c r="AE14" s="1">
        <v>0</v>
      </c>
      <c r="AF14" s="1">
        <v>0</v>
      </c>
      <c r="AG14" s="1">
        <v>0</v>
      </c>
      <c r="AH14" s="1">
        <v>5</v>
      </c>
      <c r="AI14" s="1">
        <v>5</v>
      </c>
      <c r="AJ14" s="1">
        <v>10</v>
      </c>
      <c r="AL14" s="1">
        <f t="shared" si="3"/>
        <v>0</v>
      </c>
    </row>
    <row r="15" spans="1:29" ht="12.75">
      <c r="A15" s="1">
        <v>10</v>
      </c>
      <c r="B15" s="10" t="s">
        <v>476</v>
      </c>
      <c r="C15" s="191">
        <f>VLOOKUP(MID(B15,1,8)-0,'1.8.2022'!$B$9:$G$160,3,FALSE)</f>
        <v>5202</v>
      </c>
      <c r="D15" s="191">
        <f>VLOOKUP(MID(B15,1,8)-0,'1.8.2022'!$B$9:$G$160,5,FALSE)</f>
        <v>5152.21</v>
      </c>
      <c r="E15" s="11">
        <f>IF('muut muuttujat'!$G$3=1,C15,KÄYTTÖTAULU!$B$13)</f>
        <v>5202</v>
      </c>
      <c r="F15" s="11">
        <f>IF('muut muuttujat'!$G$3=1,D15,KÄYTTÖTAULU!$B$13)</f>
        <v>5152.21</v>
      </c>
      <c r="G15" s="11"/>
      <c r="H15" s="11"/>
      <c r="I15" s="11"/>
      <c r="J15" s="11"/>
      <c r="O15" s="11"/>
      <c r="P15" s="11"/>
      <c r="Q15" s="11"/>
      <c r="R15" s="24">
        <v>0</v>
      </c>
      <c r="S15" s="25">
        <v>0</v>
      </c>
      <c r="T15" s="25">
        <v>0</v>
      </c>
      <c r="U15" s="25">
        <v>5</v>
      </c>
      <c r="V15" s="25">
        <v>5</v>
      </c>
      <c r="W15" s="49">
        <v>10</v>
      </c>
      <c r="X15" s="25">
        <v>1</v>
      </c>
      <c r="Y15" s="25">
        <f>1+S15/100</f>
        <v>1</v>
      </c>
      <c r="Z15" s="25">
        <f>(1+T15/100)*Y15</f>
        <v>1</v>
      </c>
      <c r="AA15" s="25">
        <f>(1+U15/100)*Z15</f>
        <v>1.05</v>
      </c>
      <c r="AB15" s="25">
        <f>(1+V15/100)*AA15</f>
        <v>1.1025</v>
      </c>
      <c r="AC15" s="49">
        <f>(1+W15/100)*AB15</f>
        <v>1.2127500000000002</v>
      </c>
    </row>
    <row r="16" spans="1:38" ht="12.75">
      <c r="A16" s="1">
        <v>11</v>
      </c>
      <c r="B16" s="10" t="s">
        <v>239</v>
      </c>
      <c r="C16" s="191">
        <f>VLOOKUP(MID(B16,1,8)-0,'1.8.2022'!$B$9:$G$160,3,FALSE)</f>
        <v>4046.17</v>
      </c>
      <c r="D16" s="191">
        <f>VLOOKUP(MID(B16,1,8)-0,'1.8.2022'!$B$9:$G$160,5,FALSE)</f>
        <v>4007.45</v>
      </c>
      <c r="E16" s="11">
        <f>IF('muut muuttujat'!$G$3=1,C16,KÄYTTÖTAULU!$B$13)</f>
        <v>4046.17</v>
      </c>
      <c r="F16" s="11">
        <f>IF('muut muuttujat'!$G$3=1,D16,KÄYTTÖTAULU!$B$13)</f>
        <v>4007.45</v>
      </c>
      <c r="G16" s="11"/>
      <c r="H16" s="11"/>
      <c r="I16" s="11"/>
      <c r="J16" s="11"/>
      <c r="O16" s="11"/>
      <c r="P16" s="11"/>
      <c r="Q16" s="11"/>
      <c r="R16" s="24">
        <v>0</v>
      </c>
      <c r="S16" s="25">
        <v>0</v>
      </c>
      <c r="T16" s="25">
        <v>0</v>
      </c>
      <c r="U16" s="25">
        <v>5</v>
      </c>
      <c r="V16" s="25">
        <v>5</v>
      </c>
      <c r="W16" s="49">
        <v>10</v>
      </c>
      <c r="X16" s="25">
        <v>1</v>
      </c>
      <c r="Y16" s="25">
        <f t="shared" si="5"/>
        <v>1</v>
      </c>
      <c r="Z16" s="25">
        <f t="shared" si="6"/>
        <v>1</v>
      </c>
      <c r="AA16" s="25">
        <f t="shared" si="7"/>
        <v>1.05</v>
      </c>
      <c r="AB16" s="25">
        <f t="shared" si="8"/>
        <v>1.1025</v>
      </c>
      <c r="AC16" s="49">
        <f t="shared" si="9"/>
        <v>1.2127500000000002</v>
      </c>
      <c r="AE16" s="1">
        <v>0</v>
      </c>
      <c r="AF16" s="1">
        <v>0</v>
      </c>
      <c r="AG16" s="1">
        <v>0</v>
      </c>
      <c r="AH16" s="1">
        <v>5</v>
      </c>
      <c r="AI16" s="1">
        <v>5</v>
      </c>
      <c r="AJ16" s="1">
        <v>10</v>
      </c>
      <c r="AL16" s="1">
        <f t="shared" si="3"/>
        <v>0</v>
      </c>
    </row>
    <row r="17" spans="1:38" ht="12.75">
      <c r="A17" s="1">
        <v>12</v>
      </c>
      <c r="B17" s="10" t="s">
        <v>240</v>
      </c>
      <c r="C17" s="191">
        <f>VLOOKUP(MID(B17,1,8)-0,'1.8.2022'!$B$9:$G$160,3,FALSE)</f>
        <v>4206.68</v>
      </c>
      <c r="D17" s="191">
        <f>VLOOKUP(MID(B17,1,8)-0,'1.8.2022'!$B$9:$G$160,5,FALSE)</f>
        <v>4166.4</v>
      </c>
      <c r="E17" s="11">
        <f>IF('muut muuttujat'!$G$3=1,C17,KÄYTTÖTAULU!$B$13)</f>
        <v>4206.68</v>
      </c>
      <c r="F17" s="11">
        <f>IF('muut muuttujat'!$G$3=1,D17,KÄYTTÖTAULU!$B$13)</f>
        <v>4166.4</v>
      </c>
      <c r="G17" s="11"/>
      <c r="H17" s="11"/>
      <c r="I17" s="11"/>
      <c r="J17" s="11"/>
      <c r="O17" s="11"/>
      <c r="P17" s="11"/>
      <c r="Q17" s="11"/>
      <c r="R17" s="24">
        <v>0</v>
      </c>
      <c r="S17" s="25">
        <v>0</v>
      </c>
      <c r="T17" s="25">
        <v>0</v>
      </c>
      <c r="U17" s="25">
        <v>5</v>
      </c>
      <c r="V17" s="25">
        <v>5</v>
      </c>
      <c r="W17" s="49">
        <v>10</v>
      </c>
      <c r="X17" s="25">
        <v>1</v>
      </c>
      <c r="Y17" s="25">
        <f t="shared" si="0"/>
        <v>1</v>
      </c>
      <c r="Z17" s="25">
        <f t="shared" si="1"/>
        <v>1</v>
      </c>
      <c r="AA17" s="25">
        <f t="shared" si="2"/>
        <v>1.05</v>
      </c>
      <c r="AB17" s="25">
        <f aca="true" t="shared" si="10" ref="AB17:AB25">(1+V17/100)*AA17</f>
        <v>1.1025</v>
      </c>
      <c r="AC17" s="49">
        <f t="shared" si="4"/>
        <v>1.2127500000000002</v>
      </c>
      <c r="AE17" s="1">
        <v>0</v>
      </c>
      <c r="AF17" s="1">
        <v>0</v>
      </c>
      <c r="AG17" s="1">
        <v>0</v>
      </c>
      <c r="AH17" s="1">
        <v>5</v>
      </c>
      <c r="AI17" s="1">
        <v>5</v>
      </c>
      <c r="AJ17" s="1">
        <v>10</v>
      </c>
      <c r="AL17" s="1">
        <f t="shared" si="3"/>
        <v>0</v>
      </c>
    </row>
    <row r="18" spans="1:38" ht="12.75">
      <c r="A18" s="1">
        <v>13</v>
      </c>
      <c r="B18" s="10" t="s">
        <v>241</v>
      </c>
      <c r="C18" s="191">
        <f>VLOOKUP(MID(B18,1,8)-0,'1.8.2022'!$B$9:$G$160,3,FALSE)</f>
        <v>4566.4</v>
      </c>
      <c r="D18" s="191">
        <f>VLOOKUP(MID(B18,1,8)-0,'1.8.2022'!$B$9:$G$160,5,FALSE)</f>
        <v>4522.74</v>
      </c>
      <c r="E18" s="11">
        <f>IF('muut muuttujat'!$G$3=1,C18,KÄYTTÖTAULU!$B$13)</f>
        <v>4566.4</v>
      </c>
      <c r="F18" s="11">
        <f>IF('muut muuttujat'!$G$3=1,D18,KÄYTTÖTAULU!$B$13)</f>
        <v>4522.74</v>
      </c>
      <c r="G18" s="11"/>
      <c r="H18" s="11"/>
      <c r="I18" s="11"/>
      <c r="J18" s="11"/>
      <c r="O18" s="11"/>
      <c r="P18" s="11"/>
      <c r="Q18" s="11"/>
      <c r="R18" s="24">
        <v>0</v>
      </c>
      <c r="S18" s="25">
        <v>0</v>
      </c>
      <c r="T18" s="25">
        <v>0</v>
      </c>
      <c r="U18" s="25">
        <v>5</v>
      </c>
      <c r="V18" s="25">
        <v>5</v>
      </c>
      <c r="W18" s="49">
        <v>10</v>
      </c>
      <c r="X18" s="25">
        <v>1</v>
      </c>
      <c r="Y18" s="25">
        <f t="shared" si="0"/>
        <v>1</v>
      </c>
      <c r="Z18" s="25">
        <f t="shared" si="1"/>
        <v>1</v>
      </c>
      <c r="AA18" s="25">
        <f t="shared" si="2"/>
        <v>1.05</v>
      </c>
      <c r="AB18" s="25">
        <f t="shared" si="10"/>
        <v>1.1025</v>
      </c>
      <c r="AC18" s="49">
        <f t="shared" si="4"/>
        <v>1.2127500000000002</v>
      </c>
      <c r="AE18" s="1">
        <v>0</v>
      </c>
      <c r="AF18" s="1">
        <v>0</v>
      </c>
      <c r="AG18" s="1">
        <v>0</v>
      </c>
      <c r="AH18" s="1">
        <v>5</v>
      </c>
      <c r="AI18" s="1">
        <v>5</v>
      </c>
      <c r="AJ18" s="1">
        <v>10</v>
      </c>
      <c r="AL18" s="1">
        <f t="shared" si="3"/>
        <v>0</v>
      </c>
    </row>
    <row r="19" spans="1:38" ht="12.75">
      <c r="A19" s="1">
        <v>14</v>
      </c>
      <c r="B19" s="10" t="s">
        <v>242</v>
      </c>
      <c r="C19" s="191">
        <f>VLOOKUP(MID(B19,1,8)-0,'1.8.2022'!$B$9:$G$160,3,FALSE)</f>
        <v>4760.64</v>
      </c>
      <c r="D19" s="191">
        <f>VLOOKUP(MID(B19,1,8)-0,'1.8.2022'!$B$9:$G$160,5,FALSE)</f>
        <v>4715.06</v>
      </c>
      <c r="E19" s="11">
        <f>IF('muut muuttujat'!$G$3=1,C19,KÄYTTÖTAULU!$B$13)</f>
        <v>4760.64</v>
      </c>
      <c r="F19" s="11">
        <f>IF('muut muuttujat'!$G$3=1,D19,KÄYTTÖTAULU!$B$13)</f>
        <v>4715.06</v>
      </c>
      <c r="G19" s="11"/>
      <c r="H19" s="11"/>
      <c r="I19" s="11"/>
      <c r="J19" s="11"/>
      <c r="O19" s="11"/>
      <c r="P19" s="11"/>
      <c r="Q19" s="11"/>
      <c r="R19" s="24">
        <v>0</v>
      </c>
      <c r="S19" s="25">
        <v>0</v>
      </c>
      <c r="T19" s="25">
        <v>0</v>
      </c>
      <c r="U19" s="25">
        <v>5</v>
      </c>
      <c r="V19" s="25">
        <v>5</v>
      </c>
      <c r="W19" s="49">
        <v>10</v>
      </c>
      <c r="X19" s="25">
        <v>1</v>
      </c>
      <c r="Y19" s="25">
        <f t="shared" si="0"/>
        <v>1</v>
      </c>
      <c r="Z19" s="25">
        <f t="shared" si="1"/>
        <v>1</v>
      </c>
      <c r="AA19" s="25">
        <f t="shared" si="2"/>
        <v>1.05</v>
      </c>
      <c r="AB19" s="25">
        <f t="shared" si="10"/>
        <v>1.1025</v>
      </c>
      <c r="AC19" s="49">
        <f t="shared" si="4"/>
        <v>1.2127500000000002</v>
      </c>
      <c r="AE19" s="1">
        <v>0</v>
      </c>
      <c r="AF19" s="1">
        <v>0</v>
      </c>
      <c r="AG19" s="1">
        <v>0</v>
      </c>
      <c r="AH19" s="1">
        <v>5</v>
      </c>
      <c r="AI19" s="1">
        <v>5</v>
      </c>
      <c r="AJ19" s="1">
        <v>10</v>
      </c>
      <c r="AL19" s="1">
        <f t="shared" si="3"/>
        <v>0</v>
      </c>
    </row>
    <row r="20" spans="1:38" ht="12.75">
      <c r="A20" s="1">
        <v>15</v>
      </c>
      <c r="B20" s="10" t="s">
        <v>243</v>
      </c>
      <c r="C20" s="191" t="s">
        <v>453</v>
      </c>
      <c r="D20" s="191" t="s">
        <v>453</v>
      </c>
      <c r="E20" s="11" t="str">
        <f>IF('muut muuttujat'!$G$3=1,C20,KÄYTTÖTAULU!$B$13)</f>
        <v>% rehtorista</v>
      </c>
      <c r="F20" s="11" t="str">
        <f>IF('muut muuttujat'!$G$3=1,D20,KÄYTTÖTAULU!$B$13)</f>
        <v>% rehtorista</v>
      </c>
      <c r="G20" s="11"/>
      <c r="H20" s="191"/>
      <c r="I20" s="11"/>
      <c r="J20" s="11"/>
      <c r="O20" s="11"/>
      <c r="P20" s="11"/>
      <c r="Q20" s="11"/>
      <c r="R20" s="24">
        <v>0</v>
      </c>
      <c r="S20" s="25">
        <v>0</v>
      </c>
      <c r="T20" s="25">
        <v>0</v>
      </c>
      <c r="U20" s="25">
        <v>5</v>
      </c>
      <c r="V20" s="25">
        <v>5</v>
      </c>
      <c r="W20" s="49">
        <v>10</v>
      </c>
      <c r="X20" s="25">
        <v>1</v>
      </c>
      <c r="Y20" s="25">
        <f t="shared" si="0"/>
        <v>1</v>
      </c>
      <c r="Z20" s="25">
        <f t="shared" si="1"/>
        <v>1</v>
      </c>
      <c r="AA20" s="25">
        <f t="shared" si="2"/>
        <v>1.05</v>
      </c>
      <c r="AB20" s="25">
        <f t="shared" si="10"/>
        <v>1.1025</v>
      </c>
      <c r="AC20" s="49">
        <f t="shared" si="4"/>
        <v>1.2127500000000002</v>
      </c>
      <c r="AE20" s="1">
        <v>0</v>
      </c>
      <c r="AF20" s="1">
        <v>0</v>
      </c>
      <c r="AG20" s="1">
        <v>0</v>
      </c>
      <c r="AH20" s="1">
        <v>5</v>
      </c>
      <c r="AI20" s="1">
        <v>5</v>
      </c>
      <c r="AJ20" s="1">
        <v>10</v>
      </c>
      <c r="AL20" s="1">
        <f t="shared" si="3"/>
        <v>0</v>
      </c>
    </row>
    <row r="21" spans="1:38" ht="12.75">
      <c r="A21" s="1">
        <v>16</v>
      </c>
      <c r="B21" s="10" t="s">
        <v>244</v>
      </c>
      <c r="C21" s="191" t="s">
        <v>453</v>
      </c>
      <c r="D21" s="191" t="s">
        <v>453</v>
      </c>
      <c r="E21" s="11" t="str">
        <f>IF('muut muuttujat'!$G$3=1,C21,KÄYTTÖTAULU!$B$13)</f>
        <v>% rehtorista</v>
      </c>
      <c r="F21" s="11" t="str">
        <f>IF('muut muuttujat'!$G$3=1,D21,KÄYTTÖTAULU!$B$13)</f>
        <v>% rehtorista</v>
      </c>
      <c r="G21" s="11"/>
      <c r="H21" s="191"/>
      <c r="I21" s="11"/>
      <c r="J21" s="11"/>
      <c r="O21" s="11"/>
      <c r="P21" s="11"/>
      <c r="Q21" s="11"/>
      <c r="R21" s="24">
        <v>0</v>
      </c>
      <c r="S21" s="25">
        <v>0</v>
      </c>
      <c r="T21" s="25">
        <v>0</v>
      </c>
      <c r="U21" s="25">
        <v>5</v>
      </c>
      <c r="V21" s="25">
        <v>5</v>
      </c>
      <c r="W21" s="49">
        <v>10</v>
      </c>
      <c r="X21" s="25">
        <v>1</v>
      </c>
      <c r="Y21" s="25">
        <f t="shared" si="0"/>
        <v>1</v>
      </c>
      <c r="Z21" s="25">
        <f t="shared" si="1"/>
        <v>1</v>
      </c>
      <c r="AA21" s="25">
        <f t="shared" si="2"/>
        <v>1.05</v>
      </c>
      <c r="AB21" s="25">
        <f t="shared" si="10"/>
        <v>1.1025</v>
      </c>
      <c r="AC21" s="49">
        <f t="shared" si="4"/>
        <v>1.2127500000000002</v>
      </c>
      <c r="AE21" s="1">
        <v>0</v>
      </c>
      <c r="AF21" s="1">
        <v>0</v>
      </c>
      <c r="AG21" s="1">
        <v>0</v>
      </c>
      <c r="AH21" s="1">
        <v>5</v>
      </c>
      <c r="AI21" s="1">
        <v>5</v>
      </c>
      <c r="AJ21" s="1">
        <v>10</v>
      </c>
      <c r="AL21" s="1">
        <f t="shared" si="3"/>
        <v>0</v>
      </c>
    </row>
    <row r="22" spans="1:38" ht="12.75">
      <c r="A22" s="1">
        <v>17</v>
      </c>
      <c r="B22" s="10" t="s">
        <v>245</v>
      </c>
      <c r="C22" s="191">
        <f>VLOOKUP(MID(B22,1,8)-0,'1.8.2022'!$B$9:$G$160,3,FALSE)</f>
        <v>4628.67</v>
      </c>
      <c r="D22" s="191">
        <f>VLOOKUP(MID(B22,1,8)-0,'1.8.2022'!$B$9:$G$160,5,FALSE)</f>
        <v>4584.37</v>
      </c>
      <c r="E22" s="11">
        <f>IF('muut muuttujat'!$G$3=1,C22,KÄYTTÖTAULU!$B$13)</f>
        <v>4628.67</v>
      </c>
      <c r="F22" s="11">
        <f>IF('muut muuttujat'!$G$3=1,D22,KÄYTTÖTAULU!$B$13)</f>
        <v>4584.37</v>
      </c>
      <c r="G22" s="11"/>
      <c r="H22" s="11"/>
      <c r="I22" s="11"/>
      <c r="J22" s="11"/>
      <c r="O22" s="11"/>
      <c r="P22" s="11"/>
      <c r="Q22" s="11"/>
      <c r="R22" s="24">
        <v>0</v>
      </c>
      <c r="S22" s="25">
        <v>0</v>
      </c>
      <c r="T22" s="25">
        <v>0</v>
      </c>
      <c r="U22" s="25">
        <v>5</v>
      </c>
      <c r="V22" s="25">
        <v>5</v>
      </c>
      <c r="W22" s="49">
        <v>10</v>
      </c>
      <c r="X22" s="25">
        <v>1</v>
      </c>
      <c r="Y22" s="25">
        <f t="shared" si="0"/>
        <v>1</v>
      </c>
      <c r="Z22" s="25">
        <f t="shared" si="1"/>
        <v>1</v>
      </c>
      <c r="AA22" s="25">
        <f t="shared" si="2"/>
        <v>1.05</v>
      </c>
      <c r="AB22" s="25">
        <f t="shared" si="10"/>
        <v>1.1025</v>
      </c>
      <c r="AC22" s="49">
        <f t="shared" si="4"/>
        <v>1.2127500000000002</v>
      </c>
      <c r="AE22" s="1">
        <v>0</v>
      </c>
      <c r="AF22" s="1">
        <v>0</v>
      </c>
      <c r="AG22" s="1">
        <v>0</v>
      </c>
      <c r="AH22" s="1">
        <v>5</v>
      </c>
      <c r="AI22" s="1">
        <v>5</v>
      </c>
      <c r="AJ22" s="1">
        <v>10</v>
      </c>
      <c r="AL22" s="1">
        <f t="shared" si="3"/>
        <v>0</v>
      </c>
    </row>
    <row r="23" spans="1:38" ht="12.75">
      <c r="A23" s="1">
        <v>18</v>
      </c>
      <c r="B23" s="10" t="s">
        <v>246</v>
      </c>
      <c r="C23" s="191">
        <f>VLOOKUP(MID(B23,1,8)-0,'1.8.2022'!$B$9:$G$160,3,FALSE)</f>
        <v>4628.67</v>
      </c>
      <c r="D23" s="191">
        <f>VLOOKUP(MID(B23,1,8)-0,'1.8.2022'!$B$9:$G$160,5,FALSE)</f>
        <v>4584.37</v>
      </c>
      <c r="E23" s="11">
        <f>IF('muut muuttujat'!$G$3=1,C23,KÄYTTÖTAULU!$B$13)</f>
        <v>4628.67</v>
      </c>
      <c r="F23" s="11">
        <f>IF('muut muuttujat'!$G$3=1,D23,KÄYTTÖTAULU!$B$13)</f>
        <v>4584.37</v>
      </c>
      <c r="G23" s="11"/>
      <c r="H23" s="11"/>
      <c r="I23" s="11"/>
      <c r="J23" s="11"/>
      <c r="O23" s="11"/>
      <c r="P23" s="11"/>
      <c r="Q23" s="11"/>
      <c r="R23" s="24">
        <v>0</v>
      </c>
      <c r="S23" s="25">
        <v>0</v>
      </c>
      <c r="T23" s="25">
        <v>0</v>
      </c>
      <c r="U23" s="25">
        <v>5</v>
      </c>
      <c r="V23" s="25">
        <v>5</v>
      </c>
      <c r="W23" s="49">
        <v>10</v>
      </c>
      <c r="X23" s="25">
        <v>1</v>
      </c>
      <c r="Y23" s="25">
        <f t="shared" si="0"/>
        <v>1</v>
      </c>
      <c r="Z23" s="25">
        <f t="shared" si="1"/>
        <v>1</v>
      </c>
      <c r="AA23" s="25">
        <f t="shared" si="2"/>
        <v>1.05</v>
      </c>
      <c r="AB23" s="25">
        <f t="shared" si="10"/>
        <v>1.1025</v>
      </c>
      <c r="AC23" s="49">
        <f t="shared" si="4"/>
        <v>1.2127500000000002</v>
      </c>
      <c r="AE23" s="1">
        <v>0</v>
      </c>
      <c r="AF23" s="1">
        <v>0</v>
      </c>
      <c r="AG23" s="1">
        <v>0</v>
      </c>
      <c r="AH23" s="1">
        <v>5</v>
      </c>
      <c r="AI23" s="1">
        <v>5</v>
      </c>
      <c r="AJ23" s="1">
        <v>10</v>
      </c>
      <c r="AL23" s="1">
        <f t="shared" si="3"/>
        <v>0</v>
      </c>
    </row>
    <row r="24" spans="1:38" ht="12.75">
      <c r="A24" s="1">
        <v>19</v>
      </c>
      <c r="B24" s="10" t="s">
        <v>247</v>
      </c>
      <c r="C24" s="191">
        <f>VLOOKUP(MID(B24,1,8)-0,'1.8.2022'!$B$9:$G$160,3,FALSE)</f>
        <v>3190</v>
      </c>
      <c r="D24" s="191">
        <f>VLOOKUP(MID(B24,1,8)-0,'1.8.2022'!$B$9:$G$160,5,FALSE)</f>
        <v>3159.63</v>
      </c>
      <c r="E24" s="11">
        <f>IF('muut muuttujat'!$G$3=1,C24,KÄYTTÖTAULU!$B$13)</f>
        <v>3190</v>
      </c>
      <c r="F24" s="11">
        <f>IF('muut muuttujat'!$G$3=1,D24,KÄYTTÖTAULU!$B$13)</f>
        <v>3159.63</v>
      </c>
      <c r="G24" s="11"/>
      <c r="H24" s="11"/>
      <c r="I24" s="11"/>
      <c r="J24" s="11"/>
      <c r="O24" s="11"/>
      <c r="P24" s="11"/>
      <c r="Q24" s="11"/>
      <c r="R24" s="24">
        <v>0</v>
      </c>
      <c r="S24" s="25">
        <v>2</v>
      </c>
      <c r="T24" s="25">
        <v>2</v>
      </c>
      <c r="U24" s="25">
        <v>5</v>
      </c>
      <c r="V24" s="25">
        <v>11</v>
      </c>
      <c r="W24" s="49">
        <v>0</v>
      </c>
      <c r="X24" s="25">
        <v>1</v>
      </c>
      <c r="Y24" s="25">
        <f t="shared" si="0"/>
        <v>1.02</v>
      </c>
      <c r="Z24" s="25">
        <f t="shared" si="1"/>
        <v>1.0404</v>
      </c>
      <c r="AA24" s="25">
        <f t="shared" si="2"/>
        <v>1.09242</v>
      </c>
      <c r="AB24" s="25">
        <f t="shared" si="10"/>
        <v>1.2125862</v>
      </c>
      <c r="AC24" s="49">
        <f t="shared" si="4"/>
        <v>1.2125862</v>
      </c>
      <c r="AE24" s="1">
        <v>0</v>
      </c>
      <c r="AF24" s="1">
        <v>2</v>
      </c>
      <c r="AG24" s="1">
        <v>3</v>
      </c>
      <c r="AH24" s="1">
        <v>5</v>
      </c>
      <c r="AI24" s="1">
        <v>11</v>
      </c>
      <c r="AJ24" s="1">
        <v>0</v>
      </c>
      <c r="AL24" s="1">
        <f t="shared" si="3"/>
        <v>1</v>
      </c>
    </row>
    <row r="25" spans="1:38" ht="12.75">
      <c r="A25" s="1">
        <v>20</v>
      </c>
      <c r="B25" s="10" t="s">
        <v>248</v>
      </c>
      <c r="C25" s="191" t="s">
        <v>454</v>
      </c>
      <c r="D25" s="191" t="s">
        <v>454</v>
      </c>
      <c r="E25" s="11" t="str">
        <f>IF('muut muuttujat'!$G$3=1,C25,KÄYTTÖTAULU!$B$13)</f>
        <v>epäpät %</v>
      </c>
      <c r="F25" s="11" t="str">
        <f>IF('muut muuttujat'!$G$3=1,D25,KÄYTTÖTAULU!$B$13)</f>
        <v>epäpät %</v>
      </c>
      <c r="G25" s="11"/>
      <c r="H25" s="191"/>
      <c r="I25" s="11"/>
      <c r="J25" s="11"/>
      <c r="O25" s="11"/>
      <c r="P25" s="11"/>
      <c r="Q25" s="11"/>
      <c r="R25" s="24">
        <v>0</v>
      </c>
      <c r="S25" s="25">
        <v>2</v>
      </c>
      <c r="T25" s="25">
        <v>2</v>
      </c>
      <c r="U25" s="25">
        <v>5</v>
      </c>
      <c r="V25" s="25">
        <v>11</v>
      </c>
      <c r="W25" s="49">
        <v>0</v>
      </c>
      <c r="X25" s="25">
        <v>1</v>
      </c>
      <c r="Y25" s="25">
        <f t="shared" si="0"/>
        <v>1.02</v>
      </c>
      <c r="Z25" s="25">
        <f t="shared" si="1"/>
        <v>1.0404</v>
      </c>
      <c r="AA25" s="25">
        <f t="shared" si="2"/>
        <v>1.09242</v>
      </c>
      <c r="AB25" s="25">
        <f t="shared" si="10"/>
        <v>1.2125862</v>
      </c>
      <c r="AC25" s="49">
        <f t="shared" si="4"/>
        <v>1.2125862</v>
      </c>
      <c r="AE25" s="1">
        <v>0</v>
      </c>
      <c r="AF25" s="1">
        <v>2</v>
      </c>
      <c r="AG25" s="1">
        <v>3</v>
      </c>
      <c r="AH25" s="1">
        <v>5</v>
      </c>
      <c r="AI25" s="1">
        <v>11</v>
      </c>
      <c r="AJ25" s="1">
        <v>0</v>
      </c>
      <c r="AL25" s="1">
        <f t="shared" si="3"/>
        <v>1</v>
      </c>
    </row>
    <row r="26" spans="1:38" ht="12.75">
      <c r="A26" s="1">
        <v>21</v>
      </c>
      <c r="B26" s="10" t="s">
        <v>477</v>
      </c>
      <c r="C26" s="191">
        <f>VLOOKUP(MID(B26,1,8)-0,'1.8.2022'!$B$9:$G$160,3,FALSE)</f>
        <v>3997.07</v>
      </c>
      <c r="D26" s="191">
        <f>VLOOKUP(MID(B26,1,8)-0,'1.8.2022'!$B$9:$G$160,5,FALSE)</f>
        <v>3963.84</v>
      </c>
      <c r="E26" s="11">
        <f>IF('muut muuttujat'!$G$3=1,C26,KÄYTTÖTAULU!$B$13)</f>
        <v>3997.07</v>
      </c>
      <c r="F26" s="11">
        <f>IF('muut muuttujat'!$G$3=1,D26,KÄYTTÖTAULU!$B$13)</f>
        <v>3963.84</v>
      </c>
      <c r="G26" s="11"/>
      <c r="H26" s="11"/>
      <c r="I26" s="11"/>
      <c r="J26" s="11"/>
      <c r="O26" s="11"/>
      <c r="P26" s="11"/>
      <c r="Q26" s="11"/>
      <c r="R26" s="24">
        <v>0</v>
      </c>
      <c r="S26" s="25">
        <v>2</v>
      </c>
      <c r="T26" s="25">
        <v>3</v>
      </c>
      <c r="U26" s="25">
        <v>5</v>
      </c>
      <c r="V26" s="25">
        <v>11</v>
      </c>
      <c r="W26" s="49">
        <v>0</v>
      </c>
      <c r="X26" s="25">
        <v>1</v>
      </c>
      <c r="Y26" s="25">
        <f>1+S26/100</f>
        <v>1.02</v>
      </c>
      <c r="Z26" s="25">
        <f aca="true" t="shared" si="11" ref="Z26:AC27">(1+T26/100)*Y26</f>
        <v>1.0506</v>
      </c>
      <c r="AA26" s="25">
        <f t="shared" si="11"/>
        <v>1.10313</v>
      </c>
      <c r="AB26" s="25">
        <f t="shared" si="11"/>
        <v>1.2244743</v>
      </c>
      <c r="AC26" s="49">
        <f t="shared" si="11"/>
        <v>1.2244743</v>
      </c>
      <c r="AE26" s="1">
        <v>0</v>
      </c>
      <c r="AF26" s="1">
        <v>2</v>
      </c>
      <c r="AG26" s="1">
        <v>3</v>
      </c>
      <c r="AH26" s="1">
        <v>5</v>
      </c>
      <c r="AI26" s="1">
        <v>11</v>
      </c>
      <c r="AJ26" s="1">
        <v>0</v>
      </c>
      <c r="AL26" s="1">
        <f t="shared" si="3"/>
        <v>0</v>
      </c>
    </row>
    <row r="27" spans="1:38" ht="12.75">
      <c r="A27" s="1">
        <v>22</v>
      </c>
      <c r="B27" s="10" t="s">
        <v>478</v>
      </c>
      <c r="C27" s="191" t="s">
        <v>454</v>
      </c>
      <c r="D27" s="191" t="s">
        <v>454</v>
      </c>
      <c r="E27" s="11" t="str">
        <f>IF('muut muuttujat'!$G$3=1,C27,KÄYTTÖTAULU!$B$13)</f>
        <v>epäpät %</v>
      </c>
      <c r="F27" s="11" t="str">
        <f>IF('muut muuttujat'!$G$3=1,D27,KÄYTTÖTAULU!$B$13)</f>
        <v>epäpät %</v>
      </c>
      <c r="G27" s="11"/>
      <c r="H27" s="11"/>
      <c r="I27" s="11"/>
      <c r="J27" s="11"/>
      <c r="O27" s="11"/>
      <c r="P27" s="11"/>
      <c r="Q27" s="11"/>
      <c r="R27" s="24">
        <v>0</v>
      </c>
      <c r="S27" s="25">
        <v>2</v>
      </c>
      <c r="T27" s="25">
        <v>3</v>
      </c>
      <c r="U27" s="25">
        <v>5</v>
      </c>
      <c r="V27" s="25">
        <v>11</v>
      </c>
      <c r="W27" s="49">
        <v>0</v>
      </c>
      <c r="X27" s="25">
        <v>1</v>
      </c>
      <c r="Y27" s="25">
        <f>1+S27/100</f>
        <v>1.02</v>
      </c>
      <c r="Z27" s="25">
        <f t="shared" si="11"/>
        <v>1.0506</v>
      </c>
      <c r="AA27" s="25">
        <f t="shared" si="11"/>
        <v>1.10313</v>
      </c>
      <c r="AB27" s="25">
        <f t="shared" si="11"/>
        <v>1.2244743</v>
      </c>
      <c r="AC27" s="49">
        <f t="shared" si="11"/>
        <v>1.2244743</v>
      </c>
      <c r="AE27" s="1">
        <v>0</v>
      </c>
      <c r="AF27" s="1">
        <v>2</v>
      </c>
      <c r="AG27" s="1">
        <v>3</v>
      </c>
      <c r="AH27" s="1">
        <v>5</v>
      </c>
      <c r="AI27" s="1">
        <v>11</v>
      </c>
      <c r="AJ27" s="1">
        <v>0</v>
      </c>
      <c r="AL27" s="1">
        <f t="shared" si="3"/>
        <v>0</v>
      </c>
    </row>
    <row r="28" spans="1:29" ht="12.75">
      <c r="A28" s="1">
        <v>23</v>
      </c>
      <c r="B28" s="10" t="s">
        <v>479</v>
      </c>
      <c r="C28" s="191">
        <f>VLOOKUP(MID(B28,1,8)-0,'1.8.2022'!$B$9:$G$160,3,FALSE)</f>
        <v>3997.07</v>
      </c>
      <c r="D28" s="191">
        <f>VLOOKUP(MID(B28,1,8)-0,'1.8.2022'!$B$9:$G$160,5,FALSE)</f>
        <v>3963.84</v>
      </c>
      <c r="E28" s="11">
        <f>IF('muut muuttujat'!$G$3=1,C28,KÄYTTÖTAULU!$B$13)</f>
        <v>3997.07</v>
      </c>
      <c r="F28" s="11">
        <f>IF('muut muuttujat'!$G$3=1,D28,KÄYTTÖTAULU!$B$13)</f>
        <v>3963.84</v>
      </c>
      <c r="G28" s="11"/>
      <c r="H28" s="11"/>
      <c r="I28" s="11"/>
      <c r="J28" s="11"/>
      <c r="O28" s="11"/>
      <c r="P28" s="11"/>
      <c r="Q28" s="11"/>
      <c r="R28" s="24">
        <v>0</v>
      </c>
      <c r="S28" s="25">
        <v>2</v>
      </c>
      <c r="T28" s="25">
        <v>3</v>
      </c>
      <c r="U28" s="25">
        <v>5</v>
      </c>
      <c r="V28" s="25">
        <v>11</v>
      </c>
      <c r="W28" s="49">
        <v>0</v>
      </c>
      <c r="X28" s="25">
        <v>1</v>
      </c>
      <c r="Y28" s="25">
        <f aca="true" t="shared" si="12" ref="Y28:Y33">1+S28/100</f>
        <v>1.02</v>
      </c>
      <c r="Z28" s="25">
        <f aca="true" t="shared" si="13" ref="Z28:Z33">(1+T28/100)*Y28</f>
        <v>1.0506</v>
      </c>
      <c r="AA28" s="25">
        <f aca="true" t="shared" si="14" ref="AA28:AA33">(1+U28/100)*Z28</f>
        <v>1.10313</v>
      </c>
      <c r="AB28" s="25">
        <f aca="true" t="shared" si="15" ref="AB28:AB33">(1+V28/100)*AA28</f>
        <v>1.2244743</v>
      </c>
      <c r="AC28" s="49">
        <f aca="true" t="shared" si="16" ref="AC28:AC33">(1+W28/100)*AB28</f>
        <v>1.2244743</v>
      </c>
    </row>
    <row r="29" spans="1:29" ht="12.75">
      <c r="A29" s="1">
        <v>24</v>
      </c>
      <c r="B29" s="10" t="s">
        <v>480</v>
      </c>
      <c r="C29" s="191" t="s">
        <v>454</v>
      </c>
      <c r="D29" s="191" t="s">
        <v>454</v>
      </c>
      <c r="E29" s="11" t="str">
        <f>IF('muut muuttujat'!$G$3=1,C29,KÄYTTÖTAULU!$B$13)</f>
        <v>epäpät %</v>
      </c>
      <c r="F29" s="11" t="str">
        <f>IF('muut muuttujat'!$G$3=1,D29,KÄYTTÖTAULU!$B$13)</f>
        <v>epäpät %</v>
      </c>
      <c r="G29" s="11"/>
      <c r="H29" s="11"/>
      <c r="I29" s="11"/>
      <c r="J29" s="11"/>
      <c r="O29" s="11"/>
      <c r="P29" s="11"/>
      <c r="Q29" s="11"/>
      <c r="R29" s="24">
        <v>0</v>
      </c>
      <c r="S29" s="25">
        <v>2</v>
      </c>
      <c r="T29" s="25">
        <v>3</v>
      </c>
      <c r="U29" s="25">
        <v>5</v>
      </c>
      <c r="V29" s="25">
        <v>11</v>
      </c>
      <c r="W29" s="49">
        <v>0</v>
      </c>
      <c r="X29" s="25">
        <v>1</v>
      </c>
      <c r="Y29" s="25">
        <f t="shared" si="12"/>
        <v>1.02</v>
      </c>
      <c r="Z29" s="25">
        <f t="shared" si="13"/>
        <v>1.0506</v>
      </c>
      <c r="AA29" s="25">
        <f t="shared" si="14"/>
        <v>1.10313</v>
      </c>
      <c r="AB29" s="25">
        <f t="shared" si="15"/>
        <v>1.2244743</v>
      </c>
      <c r="AC29" s="49">
        <f t="shared" si="16"/>
        <v>1.2244743</v>
      </c>
    </row>
    <row r="30" spans="1:38" ht="12.75">
      <c r="A30" s="1">
        <v>25</v>
      </c>
      <c r="B30" s="10" t="s">
        <v>481</v>
      </c>
      <c r="C30" s="191">
        <f>VLOOKUP(MID(B30,1,8)-0,'1.8.2022'!$B$9:$G$160,3,FALSE)</f>
        <v>3997.07</v>
      </c>
      <c r="D30" s="191">
        <f>VLOOKUP(MID(B30,1,8)-0,'1.8.2022'!$B$9:$G$160,5,FALSE)</f>
        <v>3963.84</v>
      </c>
      <c r="E30" s="11">
        <f>IF('muut muuttujat'!$G$3=1,C30,KÄYTTÖTAULU!$B$13)</f>
        <v>3997.07</v>
      </c>
      <c r="F30" s="11">
        <f>IF('muut muuttujat'!$G$3=1,D30,KÄYTTÖTAULU!$B$13)</f>
        <v>3963.84</v>
      </c>
      <c r="G30" s="11"/>
      <c r="H30" s="11"/>
      <c r="I30" s="11"/>
      <c r="J30" s="11"/>
      <c r="O30" s="11"/>
      <c r="P30" s="11"/>
      <c r="Q30" s="11"/>
      <c r="R30" s="24">
        <v>0</v>
      </c>
      <c r="S30" s="25">
        <v>2</v>
      </c>
      <c r="T30" s="25">
        <v>3</v>
      </c>
      <c r="U30" s="25">
        <v>5</v>
      </c>
      <c r="V30" s="25">
        <v>11</v>
      </c>
      <c r="W30" s="49">
        <v>0</v>
      </c>
      <c r="X30" s="25">
        <v>1</v>
      </c>
      <c r="Y30" s="25">
        <f t="shared" si="12"/>
        <v>1.02</v>
      </c>
      <c r="Z30" s="25">
        <f t="shared" si="13"/>
        <v>1.0506</v>
      </c>
      <c r="AA30" s="25">
        <f t="shared" si="14"/>
        <v>1.10313</v>
      </c>
      <c r="AB30" s="25">
        <f t="shared" si="15"/>
        <v>1.2244743</v>
      </c>
      <c r="AC30" s="49">
        <f t="shared" si="16"/>
        <v>1.2244743</v>
      </c>
      <c r="AE30" s="1">
        <v>0</v>
      </c>
      <c r="AF30" s="1">
        <v>2</v>
      </c>
      <c r="AG30" s="1">
        <v>3</v>
      </c>
      <c r="AH30" s="1">
        <v>5</v>
      </c>
      <c r="AI30" s="1">
        <v>11</v>
      </c>
      <c r="AJ30" s="1">
        <v>0</v>
      </c>
      <c r="AL30" s="1">
        <f t="shared" si="3"/>
        <v>0</v>
      </c>
    </row>
    <row r="31" spans="1:38" ht="12.75">
      <c r="A31" s="1">
        <v>26</v>
      </c>
      <c r="B31" s="10" t="s">
        <v>482</v>
      </c>
      <c r="C31" s="191" t="s">
        <v>454</v>
      </c>
      <c r="D31" s="191" t="s">
        <v>454</v>
      </c>
      <c r="E31" s="11" t="str">
        <f>IF('muut muuttujat'!$G$3=1,C31,KÄYTTÖTAULU!$B$13)</f>
        <v>epäpät %</v>
      </c>
      <c r="F31" s="11" t="str">
        <f>IF('muut muuttujat'!$G$3=1,D31,KÄYTTÖTAULU!$B$13)</f>
        <v>epäpät %</v>
      </c>
      <c r="G31" s="11"/>
      <c r="H31" s="11"/>
      <c r="I31" s="11"/>
      <c r="J31" s="11"/>
      <c r="O31" s="11"/>
      <c r="P31" s="11"/>
      <c r="Q31" s="11"/>
      <c r="R31" s="24">
        <v>0</v>
      </c>
      <c r="S31" s="25">
        <v>2</v>
      </c>
      <c r="T31" s="25">
        <v>3</v>
      </c>
      <c r="U31" s="25">
        <v>5</v>
      </c>
      <c r="V31" s="25">
        <v>11</v>
      </c>
      <c r="W31" s="49">
        <v>0</v>
      </c>
      <c r="X31" s="25">
        <v>1</v>
      </c>
      <c r="Y31" s="25">
        <f t="shared" si="12"/>
        <v>1.02</v>
      </c>
      <c r="Z31" s="25">
        <f t="shared" si="13"/>
        <v>1.0506</v>
      </c>
      <c r="AA31" s="25">
        <f t="shared" si="14"/>
        <v>1.10313</v>
      </c>
      <c r="AB31" s="25">
        <f t="shared" si="15"/>
        <v>1.2244743</v>
      </c>
      <c r="AC31" s="49">
        <f t="shared" si="16"/>
        <v>1.2244743</v>
      </c>
      <c r="AE31" s="1">
        <v>0</v>
      </c>
      <c r="AF31" s="1">
        <v>2</v>
      </c>
      <c r="AG31" s="1">
        <v>3</v>
      </c>
      <c r="AH31" s="1">
        <v>5</v>
      </c>
      <c r="AI31" s="1">
        <v>11</v>
      </c>
      <c r="AJ31" s="1">
        <v>0</v>
      </c>
      <c r="AL31" s="1">
        <f t="shared" si="3"/>
        <v>0</v>
      </c>
    </row>
    <row r="32" spans="1:29" ht="12.75">
      <c r="A32" s="1">
        <v>27</v>
      </c>
      <c r="B32" s="10" t="s">
        <v>483</v>
      </c>
      <c r="C32" s="191">
        <f>VLOOKUP(MID(B32,1,8)-0,'1.8.2022'!$B$9:$G$160,3,FALSE)</f>
        <v>3997.07</v>
      </c>
      <c r="D32" s="191">
        <f>VLOOKUP(MID(B32,1,8)-0,'1.8.2022'!$B$9:$G$160,5,FALSE)</f>
        <v>3963.84</v>
      </c>
      <c r="E32" s="11">
        <f>IF('muut muuttujat'!$G$3=1,C32,KÄYTTÖTAULU!$B$13)</f>
        <v>3997.07</v>
      </c>
      <c r="F32" s="11">
        <f>IF('muut muuttujat'!$G$3=1,D32,KÄYTTÖTAULU!$B$13)</f>
        <v>3963.84</v>
      </c>
      <c r="G32" s="11"/>
      <c r="H32" s="11"/>
      <c r="I32" s="11"/>
      <c r="J32" s="11"/>
      <c r="O32" s="11"/>
      <c r="P32" s="11"/>
      <c r="Q32" s="11"/>
      <c r="R32" s="24">
        <v>0</v>
      </c>
      <c r="S32" s="25">
        <v>2</v>
      </c>
      <c r="T32" s="25">
        <v>3</v>
      </c>
      <c r="U32" s="25">
        <v>5</v>
      </c>
      <c r="V32" s="25">
        <v>11</v>
      </c>
      <c r="W32" s="49">
        <v>0</v>
      </c>
      <c r="X32" s="25">
        <v>1</v>
      </c>
      <c r="Y32" s="25">
        <f t="shared" si="12"/>
        <v>1.02</v>
      </c>
      <c r="Z32" s="25">
        <f t="shared" si="13"/>
        <v>1.0506</v>
      </c>
      <c r="AA32" s="25">
        <f t="shared" si="14"/>
        <v>1.10313</v>
      </c>
      <c r="AB32" s="25">
        <f t="shared" si="15"/>
        <v>1.2244743</v>
      </c>
      <c r="AC32" s="49">
        <f t="shared" si="16"/>
        <v>1.2244743</v>
      </c>
    </row>
    <row r="33" spans="1:29" ht="12.75">
      <c r="A33" s="1">
        <v>28</v>
      </c>
      <c r="B33" s="10" t="s">
        <v>484</v>
      </c>
      <c r="C33" s="191" t="s">
        <v>454</v>
      </c>
      <c r="D33" s="191" t="s">
        <v>454</v>
      </c>
      <c r="E33" s="11" t="str">
        <f>IF('muut muuttujat'!$G$3=1,C33,KÄYTTÖTAULU!$B$13)</f>
        <v>epäpät %</v>
      </c>
      <c r="F33" s="11" t="str">
        <f>IF('muut muuttujat'!$G$3=1,D33,KÄYTTÖTAULU!$B$13)</f>
        <v>epäpät %</v>
      </c>
      <c r="G33" s="11"/>
      <c r="H33" s="11"/>
      <c r="I33" s="11"/>
      <c r="J33" s="11"/>
      <c r="O33" s="11"/>
      <c r="P33" s="11"/>
      <c r="Q33" s="11"/>
      <c r="R33" s="24">
        <v>0</v>
      </c>
      <c r="S33" s="25">
        <v>2</v>
      </c>
      <c r="T33" s="25">
        <v>3</v>
      </c>
      <c r="U33" s="25">
        <v>5</v>
      </c>
      <c r="V33" s="25">
        <v>11</v>
      </c>
      <c r="W33" s="49">
        <v>0</v>
      </c>
      <c r="X33" s="25">
        <v>1</v>
      </c>
      <c r="Y33" s="25">
        <f t="shared" si="12"/>
        <v>1.02</v>
      </c>
      <c r="Z33" s="25">
        <f t="shared" si="13"/>
        <v>1.0506</v>
      </c>
      <c r="AA33" s="25">
        <f t="shared" si="14"/>
        <v>1.10313</v>
      </c>
      <c r="AB33" s="25">
        <f t="shared" si="15"/>
        <v>1.2244743</v>
      </c>
      <c r="AC33" s="49">
        <f t="shared" si="16"/>
        <v>1.2244743</v>
      </c>
    </row>
    <row r="34" spans="1:38" ht="12.75">
      <c r="A34" s="1">
        <v>29</v>
      </c>
      <c r="B34" s="10" t="s">
        <v>249</v>
      </c>
      <c r="C34" s="191">
        <f>VLOOKUP(MID(B34,1,8)-0,'1.8.2022'!$B$9:$G$160,3,FALSE)</f>
        <v>3036.54</v>
      </c>
      <c r="D34" s="191">
        <f>VLOOKUP(MID(B34,1,8)-0,'1.8.2022'!$B$9:$G$160,5,FALSE)</f>
        <v>3007.81</v>
      </c>
      <c r="E34" s="11">
        <f>IF('muut muuttujat'!$G$3=1,C34,KÄYTTÖTAULU!$B$13)</f>
        <v>3036.54</v>
      </c>
      <c r="F34" s="11">
        <f>IF('muut muuttujat'!$G$3=1,D34,KÄYTTÖTAULU!$B$13)</f>
        <v>3007.81</v>
      </c>
      <c r="G34" s="11">
        <f>KÄYTTÖTAULU!$F$6</f>
        <v>0</v>
      </c>
      <c r="H34" s="11">
        <f>KÄYTTÖTAULU!$F$6</f>
        <v>0</v>
      </c>
      <c r="I34" s="11">
        <f aca="true" t="shared" si="17" ref="I34:I80">G34*0.83</f>
        <v>0</v>
      </c>
      <c r="J34" s="11">
        <f>H34*0.83</f>
        <v>0</v>
      </c>
      <c r="K34" s="1" t="e">
        <f>ROUND(I34/KÄYTTÖTAULU!$I$8,2)</f>
        <v>#DIV/0!</v>
      </c>
      <c r="L34" s="1" t="e">
        <f>ROUND(J34/KÄYTTÖTAULU!$I$8,2)</f>
        <v>#DIV/0!</v>
      </c>
      <c r="M34" s="1" t="e">
        <f aca="true" t="shared" si="18" ref="M34:M80">ROUND(K34*(12/38),2)</f>
        <v>#DIV/0!</v>
      </c>
      <c r="N34" s="1" t="e">
        <f aca="true" t="shared" si="19" ref="N34:N80">ROUND(L34*(12/38),2)</f>
        <v>#DIV/0!</v>
      </c>
      <c r="O34" s="11"/>
      <c r="P34" s="11"/>
      <c r="Q34" s="11"/>
      <c r="R34" s="24">
        <v>0</v>
      </c>
      <c r="S34" s="25">
        <v>4</v>
      </c>
      <c r="T34" s="25">
        <v>3</v>
      </c>
      <c r="U34" s="25">
        <v>6</v>
      </c>
      <c r="V34" s="25">
        <v>6</v>
      </c>
      <c r="W34" s="49">
        <v>6</v>
      </c>
      <c r="X34" s="25">
        <v>1</v>
      </c>
      <c r="Y34" s="25">
        <f t="shared" si="0"/>
        <v>1.04</v>
      </c>
      <c r="Z34" s="25">
        <f t="shared" si="1"/>
        <v>1.0712000000000002</v>
      </c>
      <c r="AA34" s="25">
        <f t="shared" si="2"/>
        <v>1.1354720000000003</v>
      </c>
      <c r="AB34" s="25">
        <f aca="true" t="shared" si="20" ref="AB34:AB92">(1+V34/100)*AA34</f>
        <v>1.2036003200000003</v>
      </c>
      <c r="AC34" s="49">
        <f t="shared" si="4"/>
        <v>1.2758163392000004</v>
      </c>
      <c r="AE34" s="1">
        <v>0</v>
      </c>
      <c r="AF34" s="1">
        <v>4</v>
      </c>
      <c r="AG34" s="1">
        <v>4</v>
      </c>
      <c r="AH34" s="1">
        <v>6</v>
      </c>
      <c r="AI34" s="1">
        <v>6</v>
      </c>
      <c r="AJ34" s="1">
        <v>6</v>
      </c>
      <c r="AL34" s="1">
        <f t="shared" si="3"/>
        <v>1</v>
      </c>
    </row>
    <row r="35" spans="1:38" ht="12.75">
      <c r="A35" s="1">
        <v>30</v>
      </c>
      <c r="B35" s="10" t="s">
        <v>250</v>
      </c>
      <c r="C35" s="191">
        <f>VLOOKUP(MID(B35,1,8)-0,'1.8.2022'!$B$9:$G$160,3,FALSE)</f>
        <v>2830.88</v>
      </c>
      <c r="D35" s="191">
        <f>VLOOKUP(MID(B35,1,8)-0,'1.8.2022'!$B$9:$G$160,5,FALSE)</f>
        <v>2804.13</v>
      </c>
      <c r="E35" s="11">
        <f>IF('muut muuttujat'!$G$3=1,C35,KÄYTTÖTAULU!$B$13)</f>
        <v>2830.88</v>
      </c>
      <c r="F35" s="11">
        <f>IF('muut muuttujat'!$G$3=1,D35,KÄYTTÖTAULU!$B$13)</f>
        <v>2804.13</v>
      </c>
      <c r="G35" s="11">
        <f>KÄYTTÖTAULU!$F$6</f>
        <v>0</v>
      </c>
      <c r="H35" s="11">
        <f>KÄYTTÖTAULU!$F$6</f>
        <v>0</v>
      </c>
      <c r="I35" s="11">
        <f t="shared" si="17"/>
        <v>0</v>
      </c>
      <c r="J35" s="11">
        <f>H35*0.83</f>
        <v>0</v>
      </c>
      <c r="K35" s="1" t="e">
        <f>ROUND(I35/KÄYTTÖTAULU!$I$8,2)</f>
        <v>#DIV/0!</v>
      </c>
      <c r="L35" s="1" t="e">
        <f>ROUND(J35/KÄYTTÖTAULU!$I$8,2)</f>
        <v>#DIV/0!</v>
      </c>
      <c r="M35" s="1" t="e">
        <f t="shared" si="18"/>
        <v>#DIV/0!</v>
      </c>
      <c r="N35" s="1" t="e">
        <f t="shared" si="19"/>
        <v>#DIV/0!</v>
      </c>
      <c r="O35" s="11"/>
      <c r="P35" s="11"/>
      <c r="Q35" s="11"/>
      <c r="R35" s="24">
        <v>0</v>
      </c>
      <c r="S35" s="25">
        <v>4</v>
      </c>
      <c r="T35" s="25">
        <v>3</v>
      </c>
      <c r="U35" s="25">
        <v>6</v>
      </c>
      <c r="V35" s="25">
        <v>6</v>
      </c>
      <c r="W35" s="49">
        <v>6</v>
      </c>
      <c r="X35" s="25">
        <v>1</v>
      </c>
      <c r="Y35" s="25">
        <f t="shared" si="0"/>
        <v>1.04</v>
      </c>
      <c r="Z35" s="25">
        <f t="shared" si="1"/>
        <v>1.0712000000000002</v>
      </c>
      <c r="AA35" s="25">
        <f t="shared" si="2"/>
        <v>1.1354720000000003</v>
      </c>
      <c r="AB35" s="25">
        <f t="shared" si="20"/>
        <v>1.2036003200000003</v>
      </c>
      <c r="AC35" s="49">
        <f t="shared" si="4"/>
        <v>1.2758163392000004</v>
      </c>
      <c r="AE35" s="1">
        <v>0</v>
      </c>
      <c r="AF35" s="1">
        <v>4</v>
      </c>
      <c r="AG35" s="1">
        <v>4</v>
      </c>
      <c r="AH35" s="1">
        <v>6</v>
      </c>
      <c r="AI35" s="1">
        <v>6</v>
      </c>
      <c r="AJ35" s="1">
        <v>6</v>
      </c>
      <c r="AL35" s="1">
        <f t="shared" si="3"/>
        <v>1</v>
      </c>
    </row>
    <row r="36" spans="1:38" ht="12.75">
      <c r="A36" s="1">
        <v>31</v>
      </c>
      <c r="B36" s="10" t="s">
        <v>251</v>
      </c>
      <c r="C36" s="191">
        <f>VLOOKUP(MID(B36,1,8)-0,'1.8.2022'!$B$9:$G$160,3,FALSE)</f>
        <v>2481.36</v>
      </c>
      <c r="D36" s="191">
        <f>VLOOKUP(MID(B36,1,8)-0,'1.8.2022'!$B$9:$G$160,5,FALSE)</f>
        <v>2457.89</v>
      </c>
      <c r="E36" s="11">
        <f>IF('muut muuttujat'!$G$3=1,C36,KÄYTTÖTAULU!$B$13)</f>
        <v>2481.36</v>
      </c>
      <c r="F36" s="11">
        <f>IF('muut muuttujat'!$G$3=1,D36,KÄYTTÖTAULU!$B$13)</f>
        <v>2457.89</v>
      </c>
      <c r="G36" s="11">
        <f>KÄYTTÖTAULU!$F$6</f>
        <v>0</v>
      </c>
      <c r="H36" s="11">
        <f>KÄYTTÖTAULU!$F$6</f>
        <v>0</v>
      </c>
      <c r="I36" s="11">
        <f t="shared" si="17"/>
        <v>0</v>
      </c>
      <c r="J36" s="11">
        <f aca="true" t="shared" si="21" ref="J36:J89">H36*0.83</f>
        <v>0</v>
      </c>
      <c r="K36" s="1" t="e">
        <f>ROUND(I36/KÄYTTÖTAULU!$I$8,2)</f>
        <v>#DIV/0!</v>
      </c>
      <c r="L36" s="1" t="e">
        <f>ROUND(J36/KÄYTTÖTAULU!$I$8,2)</f>
        <v>#DIV/0!</v>
      </c>
      <c r="M36" s="1" t="e">
        <f t="shared" si="18"/>
        <v>#DIV/0!</v>
      </c>
      <c r="N36" s="1" t="e">
        <f t="shared" si="19"/>
        <v>#DIV/0!</v>
      </c>
      <c r="O36" s="11"/>
      <c r="P36" s="11"/>
      <c r="Q36" s="11"/>
      <c r="R36" s="24">
        <v>0</v>
      </c>
      <c r="S36" s="25">
        <v>4</v>
      </c>
      <c r="T36" s="25">
        <v>3</v>
      </c>
      <c r="U36" s="25">
        <v>6</v>
      </c>
      <c r="V36" s="25">
        <v>6</v>
      </c>
      <c r="W36" s="49">
        <v>6</v>
      </c>
      <c r="X36" s="25">
        <v>1</v>
      </c>
      <c r="Y36" s="25">
        <f t="shared" si="0"/>
        <v>1.04</v>
      </c>
      <c r="Z36" s="25">
        <f t="shared" si="1"/>
        <v>1.0712000000000002</v>
      </c>
      <c r="AA36" s="25">
        <f t="shared" si="2"/>
        <v>1.1354720000000003</v>
      </c>
      <c r="AB36" s="25">
        <f t="shared" si="20"/>
        <v>1.2036003200000003</v>
      </c>
      <c r="AC36" s="49">
        <f t="shared" si="4"/>
        <v>1.2758163392000004</v>
      </c>
      <c r="AE36" s="1">
        <v>0</v>
      </c>
      <c r="AF36" s="1">
        <v>4</v>
      </c>
      <c r="AG36" s="1">
        <v>4</v>
      </c>
      <c r="AH36" s="1">
        <v>6</v>
      </c>
      <c r="AI36" s="1">
        <v>6</v>
      </c>
      <c r="AJ36" s="1">
        <v>6</v>
      </c>
      <c r="AL36" s="1">
        <f t="shared" si="3"/>
        <v>1</v>
      </c>
    </row>
    <row r="37" spans="1:38" ht="12.75">
      <c r="A37" s="1">
        <v>32</v>
      </c>
      <c r="B37" s="10" t="s">
        <v>252</v>
      </c>
      <c r="C37" s="191">
        <f>VLOOKUP(MID(B37,1,8)-0,'1.8.2022'!$B$9:$G$160,3,FALSE)</f>
        <v>2375.13</v>
      </c>
      <c r="D37" s="191">
        <f>VLOOKUP(MID(B37,1,8)-0,'1.8.2022'!$B$9:$G$160,5,FALSE)</f>
        <v>2352.68</v>
      </c>
      <c r="E37" s="11">
        <f>IF('muut muuttujat'!$G$3=1,C37,KÄYTTÖTAULU!$B$13)</f>
        <v>2375.13</v>
      </c>
      <c r="F37" s="11">
        <f>IF('muut muuttujat'!$G$3=1,D37,KÄYTTÖTAULU!$B$13)</f>
        <v>2352.68</v>
      </c>
      <c r="G37" s="11">
        <f>KÄYTTÖTAULU!$F$6</f>
        <v>0</v>
      </c>
      <c r="H37" s="11">
        <f>KÄYTTÖTAULU!$F$6</f>
        <v>0</v>
      </c>
      <c r="I37" s="11">
        <f t="shared" si="17"/>
        <v>0</v>
      </c>
      <c r="J37" s="11">
        <f t="shared" si="21"/>
        <v>0</v>
      </c>
      <c r="K37" s="1" t="e">
        <f>ROUND(I37/KÄYTTÖTAULU!$I$8,2)</f>
        <v>#DIV/0!</v>
      </c>
      <c r="L37" s="1" t="e">
        <f>ROUND(J37/KÄYTTÖTAULU!$I$8,2)</f>
        <v>#DIV/0!</v>
      </c>
      <c r="M37" s="1" t="e">
        <f t="shared" si="18"/>
        <v>#DIV/0!</v>
      </c>
      <c r="N37" s="1" t="e">
        <f t="shared" si="19"/>
        <v>#DIV/0!</v>
      </c>
      <c r="O37" s="11"/>
      <c r="P37" s="11"/>
      <c r="Q37" s="11"/>
      <c r="R37" s="24">
        <v>0</v>
      </c>
      <c r="S37" s="25">
        <v>4</v>
      </c>
      <c r="T37" s="25">
        <v>3</v>
      </c>
      <c r="U37" s="25">
        <v>6</v>
      </c>
      <c r="V37" s="25">
        <v>6</v>
      </c>
      <c r="W37" s="49">
        <v>6</v>
      </c>
      <c r="X37" s="25">
        <v>1</v>
      </c>
      <c r="Y37" s="25">
        <f t="shared" si="0"/>
        <v>1.04</v>
      </c>
      <c r="Z37" s="25">
        <f t="shared" si="1"/>
        <v>1.0712000000000002</v>
      </c>
      <c r="AA37" s="25">
        <f t="shared" si="2"/>
        <v>1.1354720000000003</v>
      </c>
      <c r="AB37" s="25">
        <f t="shared" si="20"/>
        <v>1.2036003200000003</v>
      </c>
      <c r="AC37" s="49">
        <f t="shared" si="4"/>
        <v>1.2758163392000004</v>
      </c>
      <c r="AE37" s="1">
        <v>0</v>
      </c>
      <c r="AF37" s="1">
        <v>4</v>
      </c>
      <c r="AG37" s="1">
        <v>4</v>
      </c>
      <c r="AH37" s="1">
        <v>6</v>
      </c>
      <c r="AI37" s="1">
        <v>6</v>
      </c>
      <c r="AJ37" s="1">
        <v>6</v>
      </c>
      <c r="AL37" s="1">
        <f t="shared" si="3"/>
        <v>1</v>
      </c>
    </row>
    <row r="38" spans="1:38" ht="12.75">
      <c r="A38" s="1">
        <v>33</v>
      </c>
      <c r="B38" s="10" t="s">
        <v>253</v>
      </c>
      <c r="C38" s="191">
        <f>VLOOKUP(MID(B38,1,8)-0,'1.8.2022'!$B$9:$G$160,3,FALSE)</f>
        <v>2246.87</v>
      </c>
      <c r="D38" s="191">
        <f>VLOOKUP(MID(B38,1,8)-0,'1.8.2022'!$B$9:$G$160,5,FALSE)</f>
        <v>2226.07</v>
      </c>
      <c r="E38" s="11">
        <f>IF('muut muuttujat'!$G$3=1,C38,KÄYTTÖTAULU!$B$13)</f>
        <v>2246.87</v>
      </c>
      <c r="F38" s="11">
        <f>IF('muut muuttujat'!$G$3=1,D38,KÄYTTÖTAULU!$B$13)</f>
        <v>2226.07</v>
      </c>
      <c r="G38" s="11">
        <f>KÄYTTÖTAULU!$F$6</f>
        <v>0</v>
      </c>
      <c r="H38" s="11">
        <f>KÄYTTÖTAULU!$F$6</f>
        <v>0</v>
      </c>
      <c r="I38" s="11">
        <f t="shared" si="17"/>
        <v>0</v>
      </c>
      <c r="J38" s="11">
        <f t="shared" si="21"/>
        <v>0</v>
      </c>
      <c r="K38" s="1" t="e">
        <f>ROUND(I38/KÄYTTÖTAULU!$I$8,2)</f>
        <v>#DIV/0!</v>
      </c>
      <c r="L38" s="1" t="e">
        <f>ROUND(J38/KÄYTTÖTAULU!$I$8,2)</f>
        <v>#DIV/0!</v>
      </c>
      <c r="M38" s="1" t="e">
        <f t="shared" si="18"/>
        <v>#DIV/0!</v>
      </c>
      <c r="N38" s="1" t="e">
        <f t="shared" si="19"/>
        <v>#DIV/0!</v>
      </c>
      <c r="O38" s="11"/>
      <c r="P38" s="11"/>
      <c r="Q38" s="11"/>
      <c r="R38" s="24">
        <v>0</v>
      </c>
      <c r="S38" s="25">
        <v>4</v>
      </c>
      <c r="T38" s="25">
        <v>3</v>
      </c>
      <c r="U38" s="25">
        <v>6</v>
      </c>
      <c r="V38" s="25">
        <v>6</v>
      </c>
      <c r="W38" s="49">
        <v>6</v>
      </c>
      <c r="X38" s="25">
        <v>1</v>
      </c>
      <c r="Y38" s="25">
        <f t="shared" si="0"/>
        <v>1.04</v>
      </c>
      <c r="Z38" s="25">
        <f t="shared" si="1"/>
        <v>1.0712000000000002</v>
      </c>
      <c r="AA38" s="25">
        <f t="shared" si="2"/>
        <v>1.1354720000000003</v>
      </c>
      <c r="AB38" s="25">
        <f t="shared" si="20"/>
        <v>1.2036003200000003</v>
      </c>
      <c r="AC38" s="49">
        <f t="shared" si="4"/>
        <v>1.2758163392000004</v>
      </c>
      <c r="AE38" s="1">
        <v>0</v>
      </c>
      <c r="AF38" s="1">
        <v>4</v>
      </c>
      <c r="AG38" s="1">
        <v>4</v>
      </c>
      <c r="AH38" s="1">
        <v>6</v>
      </c>
      <c r="AI38" s="1">
        <v>6</v>
      </c>
      <c r="AJ38" s="1">
        <v>6</v>
      </c>
      <c r="AL38" s="1">
        <f t="shared" si="3"/>
        <v>1</v>
      </c>
    </row>
    <row r="39" spans="1:38" ht="12.75">
      <c r="A39" s="1">
        <v>34</v>
      </c>
      <c r="B39" s="10" t="s">
        <v>254</v>
      </c>
      <c r="C39" s="191">
        <f>VLOOKUP(MID(B39,1,8)-0,'1.8.2022'!$B$9:$G$160,3,FALSE)</f>
        <v>3057.62</v>
      </c>
      <c r="D39" s="191">
        <f>VLOOKUP(MID(B39,1,8)-0,'1.8.2022'!$B$9:$G$160,5,FALSE)</f>
        <v>3028.71</v>
      </c>
      <c r="E39" s="11">
        <f>IF('muut muuttujat'!$G$3=1,C39,KÄYTTÖTAULU!$B$13)</f>
        <v>3057.62</v>
      </c>
      <c r="F39" s="11">
        <f>IF('muut muuttujat'!$G$3=1,D39,KÄYTTÖTAULU!$B$13)</f>
        <v>3028.71</v>
      </c>
      <c r="G39" s="11">
        <f>KÄYTTÖTAULU!$F$6</f>
        <v>0</v>
      </c>
      <c r="H39" s="11">
        <f>KÄYTTÖTAULU!$F$6</f>
        <v>0</v>
      </c>
      <c r="I39" s="11">
        <f t="shared" si="17"/>
        <v>0</v>
      </c>
      <c r="J39" s="11">
        <f t="shared" si="21"/>
        <v>0</v>
      </c>
      <c r="K39" s="1" t="e">
        <f>ROUND(I39/KÄYTTÖTAULU!$I$8,2)</f>
        <v>#DIV/0!</v>
      </c>
      <c r="L39" s="1" t="e">
        <f>ROUND(J39/KÄYTTÖTAULU!$I$8,2)</f>
        <v>#DIV/0!</v>
      </c>
      <c r="M39" s="1" t="e">
        <f t="shared" si="18"/>
        <v>#DIV/0!</v>
      </c>
      <c r="N39" s="1" t="e">
        <f t="shared" si="19"/>
        <v>#DIV/0!</v>
      </c>
      <c r="O39" s="11"/>
      <c r="P39" s="11"/>
      <c r="Q39" s="11"/>
      <c r="R39" s="24">
        <v>0</v>
      </c>
      <c r="S39" s="25">
        <v>4</v>
      </c>
      <c r="T39" s="25">
        <v>3</v>
      </c>
      <c r="U39" s="25">
        <v>6</v>
      </c>
      <c r="V39" s="25">
        <v>6</v>
      </c>
      <c r="W39" s="49">
        <v>6</v>
      </c>
      <c r="X39" s="25">
        <v>1</v>
      </c>
      <c r="Y39" s="25">
        <f t="shared" si="0"/>
        <v>1.04</v>
      </c>
      <c r="Z39" s="25">
        <f t="shared" si="1"/>
        <v>1.0712000000000002</v>
      </c>
      <c r="AA39" s="25">
        <f t="shared" si="2"/>
        <v>1.1354720000000003</v>
      </c>
      <c r="AB39" s="25">
        <f t="shared" si="20"/>
        <v>1.2036003200000003</v>
      </c>
      <c r="AC39" s="49">
        <f t="shared" si="4"/>
        <v>1.2758163392000004</v>
      </c>
      <c r="AE39" s="1">
        <v>0</v>
      </c>
      <c r="AF39" s="1">
        <v>4</v>
      </c>
      <c r="AG39" s="1">
        <v>4</v>
      </c>
      <c r="AH39" s="1">
        <v>6</v>
      </c>
      <c r="AI39" s="1">
        <v>6</v>
      </c>
      <c r="AJ39" s="1">
        <v>6</v>
      </c>
      <c r="AL39" s="1">
        <f t="shared" si="3"/>
        <v>1</v>
      </c>
    </row>
    <row r="40" spans="1:38" ht="12.75">
      <c r="A40" s="1">
        <v>35</v>
      </c>
      <c r="B40" s="10" t="s">
        <v>255</v>
      </c>
      <c r="C40" s="191">
        <f>VLOOKUP(MID(B40,1,8)-0,'1.8.2022'!$B$9:$G$160,3,FALSE)</f>
        <v>2950.71</v>
      </c>
      <c r="D40" s="191">
        <f>VLOOKUP(MID(B40,1,8)-0,'1.8.2022'!$B$9:$G$160,5,FALSE)</f>
        <v>2922.79</v>
      </c>
      <c r="E40" s="11">
        <f>IF('muut muuttujat'!$G$3=1,C40,KÄYTTÖTAULU!$B$13)</f>
        <v>2950.71</v>
      </c>
      <c r="F40" s="11">
        <f>IF('muut muuttujat'!$G$3=1,D40,KÄYTTÖTAULU!$B$13)</f>
        <v>2922.79</v>
      </c>
      <c r="G40" s="11">
        <f>KÄYTTÖTAULU!$F$6</f>
        <v>0</v>
      </c>
      <c r="H40" s="11">
        <f>KÄYTTÖTAULU!$F$6</f>
        <v>0</v>
      </c>
      <c r="I40" s="11">
        <f t="shared" si="17"/>
        <v>0</v>
      </c>
      <c r="J40" s="11">
        <f t="shared" si="21"/>
        <v>0</v>
      </c>
      <c r="K40" s="1" t="e">
        <f>ROUND(I40/KÄYTTÖTAULU!$I$8,2)</f>
        <v>#DIV/0!</v>
      </c>
      <c r="L40" s="1" t="e">
        <f>ROUND(J40/KÄYTTÖTAULU!$I$8,2)</f>
        <v>#DIV/0!</v>
      </c>
      <c r="M40" s="1" t="e">
        <f t="shared" si="18"/>
        <v>#DIV/0!</v>
      </c>
      <c r="N40" s="1" t="e">
        <f t="shared" si="19"/>
        <v>#DIV/0!</v>
      </c>
      <c r="O40" s="11"/>
      <c r="P40" s="11"/>
      <c r="Q40" s="11"/>
      <c r="R40" s="24">
        <v>0</v>
      </c>
      <c r="S40" s="25">
        <v>4</v>
      </c>
      <c r="T40" s="25">
        <v>3</v>
      </c>
      <c r="U40" s="25">
        <v>6</v>
      </c>
      <c r="V40" s="25">
        <v>6</v>
      </c>
      <c r="W40" s="49">
        <v>6</v>
      </c>
      <c r="X40" s="25">
        <v>1</v>
      </c>
      <c r="Y40" s="25">
        <f t="shared" si="0"/>
        <v>1.04</v>
      </c>
      <c r="Z40" s="25">
        <f t="shared" si="1"/>
        <v>1.0712000000000002</v>
      </c>
      <c r="AA40" s="25">
        <f t="shared" si="2"/>
        <v>1.1354720000000003</v>
      </c>
      <c r="AB40" s="25">
        <f t="shared" si="20"/>
        <v>1.2036003200000003</v>
      </c>
      <c r="AC40" s="49">
        <f t="shared" si="4"/>
        <v>1.2758163392000004</v>
      </c>
      <c r="AE40" s="1">
        <v>0</v>
      </c>
      <c r="AF40" s="1">
        <v>4</v>
      </c>
      <c r="AG40" s="1">
        <v>4</v>
      </c>
      <c r="AH40" s="1">
        <v>6</v>
      </c>
      <c r="AI40" s="1">
        <v>6</v>
      </c>
      <c r="AJ40" s="1">
        <v>6</v>
      </c>
      <c r="AL40" s="1">
        <f t="shared" si="3"/>
        <v>1</v>
      </c>
    </row>
    <row r="41" spans="1:38" ht="12.75">
      <c r="A41" s="1">
        <v>36</v>
      </c>
      <c r="B41" s="10" t="s">
        <v>256</v>
      </c>
      <c r="C41" s="191">
        <f>VLOOKUP(MID(B41,1,8)-0,'1.8.2022'!$B$9:$G$160,3,FALSE)</f>
        <v>2856.12</v>
      </c>
      <c r="D41" s="191">
        <f>VLOOKUP(MID(B41,1,8)-0,'1.8.2022'!$B$9:$G$160,5,FALSE)</f>
        <v>2829.08</v>
      </c>
      <c r="E41" s="11">
        <f>IF('muut muuttujat'!$G$3=1,C41,KÄYTTÖTAULU!$B$13)</f>
        <v>2856.12</v>
      </c>
      <c r="F41" s="11">
        <f>IF('muut muuttujat'!$G$3=1,D41,KÄYTTÖTAULU!$B$13)</f>
        <v>2829.08</v>
      </c>
      <c r="G41" s="11">
        <f>KÄYTTÖTAULU!$F$6</f>
        <v>0</v>
      </c>
      <c r="H41" s="11">
        <f>KÄYTTÖTAULU!$F$6</f>
        <v>0</v>
      </c>
      <c r="I41" s="11">
        <f t="shared" si="17"/>
        <v>0</v>
      </c>
      <c r="J41" s="11">
        <f t="shared" si="21"/>
        <v>0</v>
      </c>
      <c r="K41" s="1" t="e">
        <f>ROUND(I41/KÄYTTÖTAULU!$I$8,2)</f>
        <v>#DIV/0!</v>
      </c>
      <c r="L41" s="1" t="e">
        <f>ROUND(J41/KÄYTTÖTAULU!$I$8,2)</f>
        <v>#DIV/0!</v>
      </c>
      <c r="M41" s="1" t="e">
        <f t="shared" si="18"/>
        <v>#DIV/0!</v>
      </c>
      <c r="N41" s="1" t="e">
        <f t="shared" si="19"/>
        <v>#DIV/0!</v>
      </c>
      <c r="O41" s="11"/>
      <c r="P41" s="11"/>
      <c r="Q41" s="11"/>
      <c r="R41" s="24">
        <v>0</v>
      </c>
      <c r="S41" s="25">
        <v>4</v>
      </c>
      <c r="T41" s="25">
        <v>3</v>
      </c>
      <c r="U41" s="25">
        <v>6</v>
      </c>
      <c r="V41" s="25">
        <v>6</v>
      </c>
      <c r="W41" s="49">
        <v>6</v>
      </c>
      <c r="X41" s="25">
        <v>1</v>
      </c>
      <c r="Y41" s="25">
        <f t="shared" si="0"/>
        <v>1.04</v>
      </c>
      <c r="Z41" s="25">
        <f t="shared" si="1"/>
        <v>1.0712000000000002</v>
      </c>
      <c r="AA41" s="25">
        <f t="shared" si="2"/>
        <v>1.1354720000000003</v>
      </c>
      <c r="AB41" s="25">
        <f t="shared" si="20"/>
        <v>1.2036003200000003</v>
      </c>
      <c r="AC41" s="49">
        <f t="shared" si="4"/>
        <v>1.2758163392000004</v>
      </c>
      <c r="AE41" s="1">
        <v>0</v>
      </c>
      <c r="AF41" s="1">
        <v>4</v>
      </c>
      <c r="AG41" s="1">
        <v>4</v>
      </c>
      <c r="AH41" s="1">
        <v>6</v>
      </c>
      <c r="AI41" s="1">
        <v>6</v>
      </c>
      <c r="AJ41" s="1">
        <v>6</v>
      </c>
      <c r="AL41" s="1">
        <f t="shared" si="3"/>
        <v>1</v>
      </c>
    </row>
    <row r="42" spans="1:38" ht="12.75">
      <c r="A42" s="1">
        <v>37</v>
      </c>
      <c r="B42" s="10" t="s">
        <v>257</v>
      </c>
      <c r="C42" s="191">
        <f>VLOOKUP(MID(B42,1,8)-0,'1.8.2022'!$B$9:$G$160,3,FALSE)</f>
        <v>2811.59</v>
      </c>
      <c r="D42" s="191">
        <f>VLOOKUP(MID(B42,1,8)-0,'1.8.2022'!$B$9:$G$160,5,FALSE)</f>
        <v>2785.02</v>
      </c>
      <c r="E42" s="11">
        <f>IF('muut muuttujat'!$G$3=1,C42,KÄYTTÖTAULU!$B$13)</f>
        <v>2811.59</v>
      </c>
      <c r="F42" s="11">
        <f>IF('muut muuttujat'!$G$3=1,D42,KÄYTTÖTAULU!$B$13)</f>
        <v>2785.02</v>
      </c>
      <c r="G42" s="11">
        <f>KÄYTTÖTAULU!$F$6</f>
        <v>0</v>
      </c>
      <c r="H42" s="11">
        <f>KÄYTTÖTAULU!$F$6</f>
        <v>0</v>
      </c>
      <c r="I42" s="11">
        <f t="shared" si="17"/>
        <v>0</v>
      </c>
      <c r="J42" s="11">
        <f t="shared" si="21"/>
        <v>0</v>
      </c>
      <c r="K42" s="1" t="e">
        <f>ROUND(I42/KÄYTTÖTAULU!$I$8,2)</f>
        <v>#DIV/0!</v>
      </c>
      <c r="L42" s="1" t="e">
        <f>ROUND(J42/KÄYTTÖTAULU!$I$8,2)</f>
        <v>#DIV/0!</v>
      </c>
      <c r="M42" s="1" t="e">
        <f t="shared" si="18"/>
        <v>#DIV/0!</v>
      </c>
      <c r="N42" s="1" t="e">
        <f t="shared" si="19"/>
        <v>#DIV/0!</v>
      </c>
      <c r="O42" s="11"/>
      <c r="P42" s="11"/>
      <c r="Q42" s="11"/>
      <c r="R42" s="24">
        <v>0</v>
      </c>
      <c r="S42" s="25">
        <v>4</v>
      </c>
      <c r="T42" s="25">
        <v>3</v>
      </c>
      <c r="U42" s="25">
        <v>6</v>
      </c>
      <c r="V42" s="25">
        <v>6</v>
      </c>
      <c r="W42" s="49">
        <v>6</v>
      </c>
      <c r="X42" s="25">
        <v>1</v>
      </c>
      <c r="Y42" s="25">
        <f t="shared" si="0"/>
        <v>1.04</v>
      </c>
      <c r="Z42" s="25">
        <f t="shared" si="1"/>
        <v>1.0712000000000002</v>
      </c>
      <c r="AA42" s="25">
        <f t="shared" si="2"/>
        <v>1.1354720000000003</v>
      </c>
      <c r="AB42" s="25">
        <f t="shared" si="20"/>
        <v>1.2036003200000003</v>
      </c>
      <c r="AC42" s="49">
        <f t="shared" si="4"/>
        <v>1.2758163392000004</v>
      </c>
      <c r="AE42" s="1">
        <v>0</v>
      </c>
      <c r="AF42" s="1">
        <v>4</v>
      </c>
      <c r="AG42" s="1">
        <v>4</v>
      </c>
      <c r="AH42" s="1">
        <v>6</v>
      </c>
      <c r="AI42" s="1">
        <v>6</v>
      </c>
      <c r="AJ42" s="1">
        <v>6</v>
      </c>
      <c r="AL42" s="1">
        <f t="shared" si="3"/>
        <v>1</v>
      </c>
    </row>
    <row r="43" spans="1:38" ht="12.75">
      <c r="A43" s="1">
        <v>38</v>
      </c>
      <c r="B43" s="10" t="s">
        <v>258</v>
      </c>
      <c r="C43" s="191">
        <f>VLOOKUP(MID(B43,1,8)-0,'1.8.2022'!$B$9:$G$160,3,FALSE)</f>
        <v>2694.65</v>
      </c>
      <c r="D43" s="191">
        <f>VLOOKUP(MID(B43,1,8)-0,'1.8.2022'!$B$9:$G$160,5,FALSE)</f>
        <v>2669.22</v>
      </c>
      <c r="E43" s="11">
        <f>IF('muut muuttujat'!$G$3=1,C43,KÄYTTÖTAULU!$B$13)</f>
        <v>2694.65</v>
      </c>
      <c r="F43" s="11">
        <f>IF('muut muuttujat'!$G$3=1,D43,KÄYTTÖTAULU!$B$13)</f>
        <v>2669.22</v>
      </c>
      <c r="G43" s="11">
        <f>KÄYTTÖTAULU!$F$6</f>
        <v>0</v>
      </c>
      <c r="H43" s="11">
        <f>KÄYTTÖTAULU!$F$6</f>
        <v>0</v>
      </c>
      <c r="I43" s="11">
        <f t="shared" si="17"/>
        <v>0</v>
      </c>
      <c r="J43" s="11">
        <f t="shared" si="21"/>
        <v>0</v>
      </c>
      <c r="K43" s="1" t="e">
        <f>ROUND(I43/KÄYTTÖTAULU!$I$8,2)</f>
        <v>#DIV/0!</v>
      </c>
      <c r="L43" s="1" t="e">
        <f>ROUND(J43/KÄYTTÖTAULU!$I$8,2)</f>
        <v>#DIV/0!</v>
      </c>
      <c r="M43" s="1" t="e">
        <f t="shared" si="18"/>
        <v>#DIV/0!</v>
      </c>
      <c r="N43" s="1" t="e">
        <f t="shared" si="19"/>
        <v>#DIV/0!</v>
      </c>
      <c r="O43" s="11"/>
      <c r="P43" s="11"/>
      <c r="Q43" s="11"/>
      <c r="R43" s="24">
        <v>0</v>
      </c>
      <c r="S43" s="25">
        <v>4</v>
      </c>
      <c r="T43" s="25">
        <v>3</v>
      </c>
      <c r="U43" s="25">
        <v>6</v>
      </c>
      <c r="V43" s="25">
        <v>6</v>
      </c>
      <c r="W43" s="49">
        <v>6</v>
      </c>
      <c r="X43" s="25">
        <v>1</v>
      </c>
      <c r="Y43" s="25">
        <f t="shared" si="0"/>
        <v>1.04</v>
      </c>
      <c r="Z43" s="25">
        <f t="shared" si="1"/>
        <v>1.0712000000000002</v>
      </c>
      <c r="AA43" s="25">
        <f t="shared" si="2"/>
        <v>1.1354720000000003</v>
      </c>
      <c r="AB43" s="25">
        <f t="shared" si="20"/>
        <v>1.2036003200000003</v>
      </c>
      <c r="AC43" s="49">
        <f t="shared" si="4"/>
        <v>1.2758163392000004</v>
      </c>
      <c r="AE43" s="1">
        <v>0</v>
      </c>
      <c r="AF43" s="1">
        <v>4</v>
      </c>
      <c r="AG43" s="1">
        <v>4</v>
      </c>
      <c r="AH43" s="1">
        <v>6</v>
      </c>
      <c r="AI43" s="1">
        <v>6</v>
      </c>
      <c r="AJ43" s="1">
        <v>6</v>
      </c>
      <c r="AL43" s="1">
        <f t="shared" si="3"/>
        <v>1</v>
      </c>
    </row>
    <row r="44" spans="1:38" ht="12.75">
      <c r="A44" s="1">
        <v>39</v>
      </c>
      <c r="B44" s="10" t="s">
        <v>259</v>
      </c>
      <c r="C44" s="191">
        <f>VLOOKUP(MID(B44,1,8)-0,'1.8.2022'!$B$9:$G$160,3,FALSE)</f>
        <v>2355.22</v>
      </c>
      <c r="D44" s="191">
        <f>VLOOKUP(MID(B44,1,8)-0,'1.8.2022'!$B$9:$G$160,5,FALSE)</f>
        <v>2333.19</v>
      </c>
      <c r="E44" s="11">
        <f>IF('muut muuttujat'!$G$3=1,C44,KÄYTTÖTAULU!$B$13)</f>
        <v>2355.22</v>
      </c>
      <c r="F44" s="11">
        <f>IF('muut muuttujat'!$G$3=1,D44,KÄYTTÖTAULU!$B$13)</f>
        <v>2333.19</v>
      </c>
      <c r="G44" s="11">
        <f>KÄYTTÖTAULU!$F$6</f>
        <v>0</v>
      </c>
      <c r="H44" s="11">
        <f>KÄYTTÖTAULU!$F$6</f>
        <v>0</v>
      </c>
      <c r="I44" s="11">
        <f t="shared" si="17"/>
        <v>0</v>
      </c>
      <c r="J44" s="11">
        <f t="shared" si="21"/>
        <v>0</v>
      </c>
      <c r="K44" s="1" t="e">
        <f>ROUND(I44/KÄYTTÖTAULU!$I$8,2)</f>
        <v>#DIV/0!</v>
      </c>
      <c r="L44" s="1" t="e">
        <f>ROUND(J44/KÄYTTÖTAULU!$I$8,2)</f>
        <v>#DIV/0!</v>
      </c>
      <c r="M44" s="1" t="e">
        <f t="shared" si="18"/>
        <v>#DIV/0!</v>
      </c>
      <c r="N44" s="1" t="e">
        <f t="shared" si="19"/>
        <v>#DIV/0!</v>
      </c>
      <c r="O44" s="11"/>
      <c r="P44" s="11"/>
      <c r="Q44" s="11"/>
      <c r="R44" s="24">
        <v>0</v>
      </c>
      <c r="S44" s="25">
        <v>4</v>
      </c>
      <c r="T44" s="25">
        <v>3</v>
      </c>
      <c r="U44" s="25">
        <v>6</v>
      </c>
      <c r="V44" s="25">
        <v>6</v>
      </c>
      <c r="W44" s="49">
        <v>6</v>
      </c>
      <c r="X44" s="25">
        <v>1</v>
      </c>
      <c r="Y44" s="25">
        <f t="shared" si="0"/>
        <v>1.04</v>
      </c>
      <c r="Z44" s="25">
        <f t="shared" si="1"/>
        <v>1.0712000000000002</v>
      </c>
      <c r="AA44" s="25">
        <f t="shared" si="2"/>
        <v>1.1354720000000003</v>
      </c>
      <c r="AB44" s="25">
        <f t="shared" si="20"/>
        <v>1.2036003200000003</v>
      </c>
      <c r="AC44" s="49">
        <f t="shared" si="4"/>
        <v>1.2758163392000004</v>
      </c>
      <c r="AE44" s="1">
        <v>0</v>
      </c>
      <c r="AF44" s="1">
        <v>4</v>
      </c>
      <c r="AG44" s="1">
        <v>4</v>
      </c>
      <c r="AH44" s="1">
        <v>6</v>
      </c>
      <c r="AI44" s="1">
        <v>6</v>
      </c>
      <c r="AJ44" s="1">
        <v>6</v>
      </c>
      <c r="AL44" s="1">
        <f t="shared" si="3"/>
        <v>1</v>
      </c>
    </row>
    <row r="45" spans="1:38" ht="12.75">
      <c r="A45" s="1">
        <v>40</v>
      </c>
      <c r="B45" s="10" t="s">
        <v>260</v>
      </c>
      <c r="C45" s="191">
        <f>VLOOKUP(MID(B45,1,8)-0,'1.8.2022'!$B$9:$G$160,3,FALSE)</f>
        <v>3036.54</v>
      </c>
      <c r="D45" s="191">
        <f>VLOOKUP(MID(B45,1,8)-0,'1.8.2022'!$B$9:$G$160,5,FALSE)</f>
        <v>3007.81</v>
      </c>
      <c r="E45" s="11">
        <f>IF('muut muuttujat'!$G$3=1,C45,KÄYTTÖTAULU!$B$13)</f>
        <v>3036.54</v>
      </c>
      <c r="F45" s="11">
        <f>IF('muut muuttujat'!$G$3=1,D45,KÄYTTÖTAULU!$B$13)</f>
        <v>3007.81</v>
      </c>
      <c r="G45" s="11">
        <f>KÄYTTÖTAULU!$F$6</f>
        <v>0</v>
      </c>
      <c r="H45" s="11">
        <f>KÄYTTÖTAULU!$F$6</f>
        <v>0</v>
      </c>
      <c r="I45" s="11">
        <f t="shared" si="17"/>
        <v>0</v>
      </c>
      <c r="J45" s="11">
        <f t="shared" si="21"/>
        <v>0</v>
      </c>
      <c r="K45" s="1" t="e">
        <f>ROUND(I45/KÄYTTÖTAULU!$I$8,2)</f>
        <v>#DIV/0!</v>
      </c>
      <c r="L45" s="1" t="e">
        <f>ROUND(J45/KÄYTTÖTAULU!$I$8,2)</f>
        <v>#DIV/0!</v>
      </c>
      <c r="M45" s="1" t="e">
        <f t="shared" si="18"/>
        <v>#DIV/0!</v>
      </c>
      <c r="N45" s="1" t="e">
        <f t="shared" si="19"/>
        <v>#DIV/0!</v>
      </c>
      <c r="O45" s="11"/>
      <c r="P45" s="11"/>
      <c r="Q45" s="11"/>
      <c r="R45" s="24">
        <v>0</v>
      </c>
      <c r="S45" s="25">
        <v>4</v>
      </c>
      <c r="T45" s="25">
        <v>3</v>
      </c>
      <c r="U45" s="25">
        <v>6</v>
      </c>
      <c r="V45" s="25">
        <v>6</v>
      </c>
      <c r="W45" s="49">
        <v>6</v>
      </c>
      <c r="X45" s="25">
        <v>1</v>
      </c>
      <c r="Y45" s="25">
        <f t="shared" si="0"/>
        <v>1.04</v>
      </c>
      <c r="Z45" s="25">
        <f t="shared" si="1"/>
        <v>1.0712000000000002</v>
      </c>
      <c r="AA45" s="25">
        <f t="shared" si="2"/>
        <v>1.1354720000000003</v>
      </c>
      <c r="AB45" s="25">
        <f t="shared" si="20"/>
        <v>1.2036003200000003</v>
      </c>
      <c r="AC45" s="49">
        <f t="shared" si="4"/>
        <v>1.2758163392000004</v>
      </c>
      <c r="AE45" s="1">
        <v>0</v>
      </c>
      <c r="AF45" s="1">
        <v>4</v>
      </c>
      <c r="AG45" s="1">
        <v>4</v>
      </c>
      <c r="AH45" s="1">
        <v>6</v>
      </c>
      <c r="AI45" s="1">
        <v>6</v>
      </c>
      <c r="AJ45" s="1">
        <v>6</v>
      </c>
      <c r="AL45" s="1">
        <f t="shared" si="3"/>
        <v>1</v>
      </c>
    </row>
    <row r="46" spans="1:38" ht="12.75">
      <c r="A46" s="1">
        <v>41</v>
      </c>
      <c r="B46" s="10" t="s">
        <v>261</v>
      </c>
      <c r="C46" s="191">
        <f>VLOOKUP(MID(B46,1,8)-0,'1.8.2022'!$B$9:$G$160,3,FALSE)</f>
        <v>2826.78</v>
      </c>
      <c r="D46" s="191">
        <f>VLOOKUP(MID(B46,1,8)-0,'1.8.2022'!$B$9:$G$160,5,FALSE)</f>
        <v>2800.06</v>
      </c>
      <c r="E46" s="11">
        <f>IF('muut muuttujat'!$G$3=1,C46,KÄYTTÖTAULU!$B$13)</f>
        <v>2826.78</v>
      </c>
      <c r="F46" s="11">
        <f>IF('muut muuttujat'!$G$3=1,D46,KÄYTTÖTAULU!$B$13)</f>
        <v>2800.06</v>
      </c>
      <c r="G46" s="11">
        <f>KÄYTTÖTAULU!$F$6</f>
        <v>0</v>
      </c>
      <c r="H46" s="11">
        <f>KÄYTTÖTAULU!$F$6</f>
        <v>0</v>
      </c>
      <c r="I46" s="11">
        <f t="shared" si="17"/>
        <v>0</v>
      </c>
      <c r="J46" s="11">
        <f t="shared" si="21"/>
        <v>0</v>
      </c>
      <c r="K46" s="1" t="e">
        <f>ROUND(I46/KÄYTTÖTAULU!$I$8,2)</f>
        <v>#DIV/0!</v>
      </c>
      <c r="L46" s="1" t="e">
        <f>ROUND(J46/KÄYTTÖTAULU!$I$8,2)</f>
        <v>#DIV/0!</v>
      </c>
      <c r="M46" s="1" t="e">
        <f t="shared" si="18"/>
        <v>#DIV/0!</v>
      </c>
      <c r="N46" s="1" t="e">
        <f t="shared" si="19"/>
        <v>#DIV/0!</v>
      </c>
      <c r="O46" s="11"/>
      <c r="P46" s="11"/>
      <c r="Q46" s="11"/>
      <c r="R46" s="24">
        <v>0</v>
      </c>
      <c r="S46" s="25">
        <v>4</v>
      </c>
      <c r="T46" s="25">
        <v>3</v>
      </c>
      <c r="U46" s="25">
        <v>6</v>
      </c>
      <c r="V46" s="25">
        <v>6</v>
      </c>
      <c r="W46" s="49">
        <v>6</v>
      </c>
      <c r="X46" s="25">
        <v>1</v>
      </c>
      <c r="Y46" s="25">
        <f t="shared" si="0"/>
        <v>1.04</v>
      </c>
      <c r="Z46" s="25">
        <f t="shared" si="1"/>
        <v>1.0712000000000002</v>
      </c>
      <c r="AA46" s="25">
        <f t="shared" si="2"/>
        <v>1.1354720000000003</v>
      </c>
      <c r="AB46" s="25">
        <f t="shared" si="20"/>
        <v>1.2036003200000003</v>
      </c>
      <c r="AC46" s="49">
        <f t="shared" si="4"/>
        <v>1.2758163392000004</v>
      </c>
      <c r="AE46" s="1">
        <v>0</v>
      </c>
      <c r="AF46" s="1">
        <v>4</v>
      </c>
      <c r="AG46" s="1">
        <v>4</v>
      </c>
      <c r="AH46" s="1">
        <v>6</v>
      </c>
      <c r="AI46" s="1">
        <v>6</v>
      </c>
      <c r="AJ46" s="1">
        <v>6</v>
      </c>
      <c r="AL46" s="1">
        <f t="shared" si="3"/>
        <v>1</v>
      </c>
    </row>
    <row r="47" spans="1:38" ht="12.75">
      <c r="A47" s="1">
        <v>42</v>
      </c>
      <c r="B47" s="10" t="s">
        <v>262</v>
      </c>
      <c r="C47" s="191">
        <f>VLOOKUP(MID(B47,1,8)-0,'1.8.2022'!$B$9:$G$160,3,FALSE)</f>
        <v>2720.83</v>
      </c>
      <c r="D47" s="191">
        <f>VLOOKUP(MID(B47,1,8)-0,'1.8.2022'!$B$9:$G$160,5,FALSE)</f>
        <v>2695.08</v>
      </c>
      <c r="E47" s="11">
        <f>IF('muut muuttujat'!$G$3=1,C47,KÄYTTÖTAULU!$B$13)</f>
        <v>2720.83</v>
      </c>
      <c r="F47" s="11">
        <f>IF('muut muuttujat'!$G$3=1,D47,KÄYTTÖTAULU!$B$13)</f>
        <v>2695.08</v>
      </c>
      <c r="G47" s="11">
        <f>KÄYTTÖTAULU!$F$6</f>
        <v>0</v>
      </c>
      <c r="H47" s="11">
        <f>KÄYTTÖTAULU!$F$6</f>
        <v>0</v>
      </c>
      <c r="I47" s="11">
        <f t="shared" si="17"/>
        <v>0</v>
      </c>
      <c r="J47" s="11">
        <f t="shared" si="21"/>
        <v>0</v>
      </c>
      <c r="K47" s="1" t="e">
        <f>ROUND(I47/KÄYTTÖTAULU!$I$8,2)</f>
        <v>#DIV/0!</v>
      </c>
      <c r="L47" s="1" t="e">
        <f>ROUND(J47/KÄYTTÖTAULU!$I$8,2)</f>
        <v>#DIV/0!</v>
      </c>
      <c r="M47" s="1" t="e">
        <f t="shared" si="18"/>
        <v>#DIV/0!</v>
      </c>
      <c r="N47" s="1" t="e">
        <f t="shared" si="19"/>
        <v>#DIV/0!</v>
      </c>
      <c r="O47" s="11"/>
      <c r="P47" s="11"/>
      <c r="Q47" s="11"/>
      <c r="R47" s="24">
        <v>0</v>
      </c>
      <c r="S47" s="25">
        <v>4</v>
      </c>
      <c r="T47" s="25">
        <v>3</v>
      </c>
      <c r="U47" s="25">
        <v>6</v>
      </c>
      <c r="V47" s="25">
        <v>6</v>
      </c>
      <c r="W47" s="49">
        <v>6</v>
      </c>
      <c r="X47" s="25">
        <v>1</v>
      </c>
      <c r="Y47" s="25">
        <f t="shared" si="0"/>
        <v>1.04</v>
      </c>
      <c r="Z47" s="25">
        <f t="shared" si="1"/>
        <v>1.0712000000000002</v>
      </c>
      <c r="AA47" s="25">
        <f t="shared" si="2"/>
        <v>1.1354720000000003</v>
      </c>
      <c r="AB47" s="25">
        <f t="shared" si="20"/>
        <v>1.2036003200000003</v>
      </c>
      <c r="AC47" s="49">
        <f t="shared" si="4"/>
        <v>1.2758163392000004</v>
      </c>
      <c r="AE47" s="1">
        <v>0</v>
      </c>
      <c r="AF47" s="1">
        <v>4</v>
      </c>
      <c r="AG47" s="1">
        <v>4</v>
      </c>
      <c r="AH47" s="1">
        <v>6</v>
      </c>
      <c r="AI47" s="1">
        <v>6</v>
      </c>
      <c r="AJ47" s="1">
        <v>6</v>
      </c>
      <c r="AL47" s="1">
        <f t="shared" si="3"/>
        <v>1</v>
      </c>
    </row>
    <row r="48" spans="1:38" ht="12.75">
      <c r="A48" s="1">
        <v>43</v>
      </c>
      <c r="B48" s="10" t="s">
        <v>498</v>
      </c>
      <c r="C48" s="191">
        <f>VLOOKUP(MID(B48,1,8)-0,'1.8.2022'!$B$9:$G$160,3,FALSE)</f>
        <v>2222.24</v>
      </c>
      <c r="D48" s="191">
        <f>VLOOKUP(MID(B48,1,8)-0,'1.8.2022'!$B$9:$G$160,5,FALSE)</f>
        <v>2201.84</v>
      </c>
      <c r="E48" s="11">
        <f>IF('muut muuttujat'!$G$3=1,C48,KÄYTTÖTAULU!$B$13)</f>
        <v>2222.24</v>
      </c>
      <c r="F48" s="11">
        <f>IF('muut muuttujat'!$G$3=1,D48,KÄYTTÖTAULU!$B$13)</f>
        <v>2201.84</v>
      </c>
      <c r="G48" s="11">
        <f>KÄYTTÖTAULU!$F$6</f>
        <v>0</v>
      </c>
      <c r="H48" s="11">
        <f>KÄYTTÖTAULU!$F$6</f>
        <v>0</v>
      </c>
      <c r="I48" s="11">
        <f t="shared" si="17"/>
        <v>0</v>
      </c>
      <c r="J48" s="11">
        <f t="shared" si="21"/>
        <v>0</v>
      </c>
      <c r="K48" s="1" t="e">
        <f>ROUND(I48/KÄYTTÖTAULU!$I$8,2)</f>
        <v>#DIV/0!</v>
      </c>
      <c r="L48" s="1" t="e">
        <f>ROUND(J48/KÄYTTÖTAULU!$I$8,2)</f>
        <v>#DIV/0!</v>
      </c>
      <c r="M48" s="1" t="e">
        <f t="shared" si="18"/>
        <v>#DIV/0!</v>
      </c>
      <c r="N48" s="1" t="e">
        <f t="shared" si="19"/>
        <v>#DIV/0!</v>
      </c>
      <c r="O48" s="11"/>
      <c r="P48" s="11"/>
      <c r="Q48" s="11"/>
      <c r="R48" s="24">
        <v>0</v>
      </c>
      <c r="S48" s="25">
        <v>4</v>
      </c>
      <c r="T48" s="25">
        <v>3</v>
      </c>
      <c r="U48" s="25">
        <v>6</v>
      </c>
      <c r="V48" s="25">
        <v>6</v>
      </c>
      <c r="W48" s="49">
        <v>6</v>
      </c>
      <c r="X48" s="25">
        <v>1</v>
      </c>
      <c r="Y48" s="25">
        <f t="shared" si="0"/>
        <v>1.04</v>
      </c>
      <c r="Z48" s="25">
        <f t="shared" si="1"/>
        <v>1.0712000000000002</v>
      </c>
      <c r="AA48" s="25">
        <f t="shared" si="2"/>
        <v>1.1354720000000003</v>
      </c>
      <c r="AB48" s="25">
        <f t="shared" si="20"/>
        <v>1.2036003200000003</v>
      </c>
      <c r="AC48" s="49">
        <f t="shared" si="4"/>
        <v>1.2758163392000004</v>
      </c>
      <c r="AE48" s="1">
        <v>0</v>
      </c>
      <c r="AF48" s="1">
        <v>4</v>
      </c>
      <c r="AG48" s="1">
        <v>4</v>
      </c>
      <c r="AH48" s="1">
        <v>6</v>
      </c>
      <c r="AI48" s="1">
        <v>6</v>
      </c>
      <c r="AJ48" s="1">
        <v>6</v>
      </c>
      <c r="AL48" s="1">
        <f t="shared" si="3"/>
        <v>1</v>
      </c>
    </row>
    <row r="49" spans="1:38" ht="12.75">
      <c r="A49" s="1">
        <v>44</v>
      </c>
      <c r="B49" s="10" t="s">
        <v>263</v>
      </c>
      <c r="C49" s="191">
        <f>VLOOKUP(MID(B49,1,8)-0,'1.8.2022'!$B$9:$G$160,3,FALSE)</f>
        <v>2121.45</v>
      </c>
      <c r="D49" s="191">
        <f>VLOOKUP(MID(B49,1,8)-0,'1.8.2022'!$B$9:$G$160,5,FALSE)</f>
        <v>2102.79</v>
      </c>
      <c r="E49" s="11">
        <f>IF('muut muuttujat'!$G$3=1,C49,KÄYTTÖTAULU!$B$13)</f>
        <v>2121.45</v>
      </c>
      <c r="F49" s="11">
        <f>IF('muut muuttujat'!$G$3=1,D49,KÄYTTÖTAULU!$B$13)</f>
        <v>2102.79</v>
      </c>
      <c r="G49" s="11">
        <f>KÄYTTÖTAULU!$F$6</f>
        <v>0</v>
      </c>
      <c r="H49" s="11">
        <f>KÄYTTÖTAULU!$F$6</f>
        <v>0</v>
      </c>
      <c r="I49" s="11">
        <f t="shared" si="17"/>
        <v>0</v>
      </c>
      <c r="J49" s="11">
        <f t="shared" si="21"/>
        <v>0</v>
      </c>
      <c r="K49" s="1" t="e">
        <f>ROUND(I49/KÄYTTÖTAULU!$I$8,2)</f>
        <v>#DIV/0!</v>
      </c>
      <c r="L49" s="1" t="e">
        <f>ROUND(J49/KÄYTTÖTAULU!$I$8,2)</f>
        <v>#DIV/0!</v>
      </c>
      <c r="M49" s="1" t="e">
        <f t="shared" si="18"/>
        <v>#DIV/0!</v>
      </c>
      <c r="N49" s="1" t="e">
        <f t="shared" si="19"/>
        <v>#DIV/0!</v>
      </c>
      <c r="O49" s="11"/>
      <c r="P49" s="11"/>
      <c r="Q49" s="11"/>
      <c r="R49" s="24">
        <v>0</v>
      </c>
      <c r="S49" s="25">
        <v>4</v>
      </c>
      <c r="T49" s="25">
        <v>3</v>
      </c>
      <c r="U49" s="25">
        <v>6</v>
      </c>
      <c r="V49" s="25">
        <v>6</v>
      </c>
      <c r="W49" s="49">
        <v>6</v>
      </c>
      <c r="X49" s="25">
        <v>1</v>
      </c>
      <c r="Y49" s="25">
        <f t="shared" si="0"/>
        <v>1.04</v>
      </c>
      <c r="Z49" s="25">
        <f t="shared" si="1"/>
        <v>1.0712000000000002</v>
      </c>
      <c r="AA49" s="25">
        <f t="shared" si="2"/>
        <v>1.1354720000000003</v>
      </c>
      <c r="AB49" s="25">
        <f t="shared" si="20"/>
        <v>1.2036003200000003</v>
      </c>
      <c r="AC49" s="49">
        <f t="shared" si="4"/>
        <v>1.2758163392000004</v>
      </c>
      <c r="AE49" s="1">
        <v>0</v>
      </c>
      <c r="AF49" s="1">
        <v>4</v>
      </c>
      <c r="AG49" s="1">
        <v>4</v>
      </c>
      <c r="AH49" s="1">
        <v>6</v>
      </c>
      <c r="AI49" s="1">
        <v>6</v>
      </c>
      <c r="AJ49" s="1">
        <v>6</v>
      </c>
      <c r="AL49" s="1">
        <f t="shared" si="3"/>
        <v>1</v>
      </c>
    </row>
    <row r="50" spans="1:38" ht="12.75">
      <c r="A50" s="1">
        <v>45</v>
      </c>
      <c r="B50" s="10" t="s">
        <v>264</v>
      </c>
      <c r="C50" s="191">
        <f>VLOOKUP(MID(B50,1,8)-0,'1.8.2022'!$B$9:$G$160,3,FALSE)</f>
        <v>2439.23</v>
      </c>
      <c r="D50" s="191">
        <f>VLOOKUP(MID(B50,1,8)-0,'1.8.2022'!$B$9:$G$160,5,FALSE)</f>
        <v>2416.15</v>
      </c>
      <c r="E50" s="11">
        <f>IF('muut muuttujat'!$G$3=1,C50,KÄYTTÖTAULU!$B$13)</f>
        <v>2439.23</v>
      </c>
      <c r="F50" s="11">
        <f>IF('muut muuttujat'!$G$3=1,D50,KÄYTTÖTAULU!$B$13)</f>
        <v>2416.15</v>
      </c>
      <c r="G50" s="11">
        <f>KÄYTTÖTAULU!$F$6</f>
        <v>0</v>
      </c>
      <c r="H50" s="11">
        <f>KÄYTTÖTAULU!$F$6</f>
        <v>0</v>
      </c>
      <c r="I50" s="11">
        <f t="shared" si="17"/>
        <v>0</v>
      </c>
      <c r="J50" s="11">
        <f t="shared" si="21"/>
        <v>0</v>
      </c>
      <c r="K50" s="1" t="e">
        <f>ROUND(I50/KÄYTTÖTAULU!$I$8,2)</f>
        <v>#DIV/0!</v>
      </c>
      <c r="L50" s="1" t="e">
        <f>ROUND(J50/KÄYTTÖTAULU!$I$8,2)</f>
        <v>#DIV/0!</v>
      </c>
      <c r="M50" s="1" t="e">
        <f t="shared" si="18"/>
        <v>#DIV/0!</v>
      </c>
      <c r="N50" s="1" t="e">
        <f t="shared" si="19"/>
        <v>#DIV/0!</v>
      </c>
      <c r="O50" s="11"/>
      <c r="P50" s="11"/>
      <c r="Q50" s="11"/>
      <c r="R50" s="24">
        <v>0</v>
      </c>
      <c r="S50" s="25">
        <v>6</v>
      </c>
      <c r="T50" s="25">
        <v>2</v>
      </c>
      <c r="U50" s="25">
        <v>9</v>
      </c>
      <c r="V50" s="25">
        <v>6</v>
      </c>
      <c r="W50" s="49">
        <v>6</v>
      </c>
      <c r="X50" s="25">
        <v>1</v>
      </c>
      <c r="Y50" s="25">
        <f t="shared" si="0"/>
        <v>1.06</v>
      </c>
      <c r="Z50" s="25">
        <f t="shared" si="1"/>
        <v>1.0812000000000002</v>
      </c>
      <c r="AA50" s="25">
        <f t="shared" si="2"/>
        <v>1.1785080000000003</v>
      </c>
      <c r="AB50" s="25">
        <f t="shared" si="20"/>
        <v>1.2492184800000004</v>
      </c>
      <c r="AC50" s="49">
        <f t="shared" si="4"/>
        <v>1.3241715888000005</v>
      </c>
      <c r="AE50" s="1">
        <v>0</v>
      </c>
      <c r="AF50" s="1">
        <v>6</v>
      </c>
      <c r="AG50" s="1">
        <v>3</v>
      </c>
      <c r="AH50" s="1">
        <v>9</v>
      </c>
      <c r="AI50" s="1">
        <v>6</v>
      </c>
      <c r="AJ50" s="1">
        <v>6</v>
      </c>
      <c r="AL50" s="1">
        <f t="shared" si="3"/>
        <v>1</v>
      </c>
    </row>
    <row r="51" spans="1:38" ht="12.75">
      <c r="A51" s="1">
        <v>46</v>
      </c>
      <c r="B51" s="10" t="s">
        <v>499</v>
      </c>
      <c r="C51" s="191">
        <f>VLOOKUP(MID(B51,1,8)-0,'1.8.2022'!$B$9:$G$160,3,FALSE)</f>
        <v>2439.23</v>
      </c>
      <c r="D51" s="191">
        <f>VLOOKUP(MID(B51,1,8)-0,'1.8.2022'!$B$9:$G$160,5,FALSE)</f>
        <v>2416.15</v>
      </c>
      <c r="E51" s="11">
        <f>IF('muut muuttujat'!$G$3=1,C51,KÄYTTÖTAULU!$B$13)</f>
        <v>2439.23</v>
      </c>
      <c r="F51" s="11">
        <f>IF('muut muuttujat'!$G$3=1,D51,KÄYTTÖTAULU!$B$13)</f>
        <v>2416.15</v>
      </c>
      <c r="G51" s="11">
        <f>KÄYTTÖTAULU!$F$6</f>
        <v>0</v>
      </c>
      <c r="H51" s="11">
        <f>KÄYTTÖTAULU!$F$6</f>
        <v>0</v>
      </c>
      <c r="I51" s="11">
        <f t="shared" si="17"/>
        <v>0</v>
      </c>
      <c r="J51" s="11">
        <f t="shared" si="21"/>
        <v>0</v>
      </c>
      <c r="K51" s="1" t="e">
        <f>ROUND(I51/KÄYTTÖTAULU!$I$8,2)</f>
        <v>#DIV/0!</v>
      </c>
      <c r="L51" s="1" t="e">
        <f>ROUND(J51/KÄYTTÖTAULU!$I$8,2)</f>
        <v>#DIV/0!</v>
      </c>
      <c r="M51" s="1" t="e">
        <f t="shared" si="18"/>
        <v>#DIV/0!</v>
      </c>
      <c r="N51" s="1" t="e">
        <f t="shared" si="19"/>
        <v>#DIV/0!</v>
      </c>
      <c r="O51" s="11"/>
      <c r="P51" s="11"/>
      <c r="Q51" s="11"/>
      <c r="R51" s="24">
        <v>0</v>
      </c>
      <c r="S51" s="25">
        <v>6</v>
      </c>
      <c r="T51" s="25">
        <v>2</v>
      </c>
      <c r="U51" s="25">
        <v>9</v>
      </c>
      <c r="V51" s="25">
        <v>6</v>
      </c>
      <c r="W51" s="49">
        <v>6</v>
      </c>
      <c r="X51" s="25">
        <v>1</v>
      </c>
      <c r="Y51" s="25">
        <f t="shared" si="0"/>
        <v>1.06</v>
      </c>
      <c r="Z51" s="25">
        <f t="shared" si="1"/>
        <v>1.0812000000000002</v>
      </c>
      <c r="AA51" s="25">
        <f t="shared" si="2"/>
        <v>1.1785080000000003</v>
      </c>
      <c r="AB51" s="25">
        <f t="shared" si="20"/>
        <v>1.2492184800000004</v>
      </c>
      <c r="AC51" s="49">
        <f t="shared" si="4"/>
        <v>1.3241715888000005</v>
      </c>
      <c r="AE51" s="1">
        <v>0</v>
      </c>
      <c r="AF51" s="1">
        <v>6</v>
      </c>
      <c r="AG51" s="1">
        <v>3</v>
      </c>
      <c r="AH51" s="1">
        <v>9</v>
      </c>
      <c r="AI51" s="1">
        <v>6</v>
      </c>
      <c r="AJ51" s="1">
        <v>6</v>
      </c>
      <c r="AL51" s="1">
        <f t="shared" si="3"/>
        <v>1</v>
      </c>
    </row>
    <row r="52" spans="1:38" ht="12.75">
      <c r="A52" s="1">
        <v>47</v>
      </c>
      <c r="B52" s="10" t="s">
        <v>265</v>
      </c>
      <c r="C52" s="191">
        <f>VLOOKUP(MID(B52,1,8)-0,'1.8.2022'!$B$9:$G$160,3,FALSE)</f>
        <v>2388.48</v>
      </c>
      <c r="D52" s="191">
        <f>VLOOKUP(MID(B52,1,8)-0,'1.8.2022'!$B$9:$G$160,5,FALSE)</f>
        <v>2365.85</v>
      </c>
      <c r="E52" s="11">
        <f>IF('muut muuttujat'!$G$3=1,C52,KÄYTTÖTAULU!$B$13)</f>
        <v>2388.48</v>
      </c>
      <c r="F52" s="11">
        <f>IF('muut muuttujat'!$G$3=1,D52,KÄYTTÖTAULU!$B$13)</f>
        <v>2365.85</v>
      </c>
      <c r="G52" s="11">
        <f>KÄYTTÖTAULU!$F$6</f>
        <v>0</v>
      </c>
      <c r="H52" s="11">
        <f>KÄYTTÖTAULU!$F$6</f>
        <v>0</v>
      </c>
      <c r="I52" s="11">
        <f t="shared" si="17"/>
        <v>0</v>
      </c>
      <c r="J52" s="11">
        <f t="shared" si="21"/>
        <v>0</v>
      </c>
      <c r="K52" s="1" t="e">
        <f>ROUND(I52/KÄYTTÖTAULU!$I$8,2)</f>
        <v>#DIV/0!</v>
      </c>
      <c r="L52" s="1" t="e">
        <f>ROUND(J52/KÄYTTÖTAULU!$I$8,2)</f>
        <v>#DIV/0!</v>
      </c>
      <c r="M52" s="1" t="e">
        <f t="shared" si="18"/>
        <v>#DIV/0!</v>
      </c>
      <c r="N52" s="1" t="e">
        <f t="shared" si="19"/>
        <v>#DIV/0!</v>
      </c>
      <c r="O52" s="11"/>
      <c r="P52" s="11"/>
      <c r="Q52" s="11"/>
      <c r="R52" s="24">
        <v>0</v>
      </c>
      <c r="S52" s="25">
        <v>6</v>
      </c>
      <c r="T52" s="25">
        <v>2</v>
      </c>
      <c r="U52" s="25">
        <v>9</v>
      </c>
      <c r="V52" s="25">
        <v>6</v>
      </c>
      <c r="W52" s="49">
        <v>6</v>
      </c>
      <c r="X52" s="25">
        <v>1</v>
      </c>
      <c r="Y52" s="25">
        <f t="shared" si="0"/>
        <v>1.06</v>
      </c>
      <c r="Z52" s="25">
        <f t="shared" si="1"/>
        <v>1.0812000000000002</v>
      </c>
      <c r="AA52" s="25">
        <f t="shared" si="2"/>
        <v>1.1785080000000003</v>
      </c>
      <c r="AB52" s="25">
        <f t="shared" si="20"/>
        <v>1.2492184800000004</v>
      </c>
      <c r="AC52" s="49">
        <f t="shared" si="4"/>
        <v>1.3241715888000005</v>
      </c>
      <c r="AE52" s="1">
        <v>0</v>
      </c>
      <c r="AF52" s="1">
        <v>6</v>
      </c>
      <c r="AG52" s="1">
        <v>3</v>
      </c>
      <c r="AH52" s="1">
        <v>9</v>
      </c>
      <c r="AI52" s="1">
        <v>6</v>
      </c>
      <c r="AJ52" s="1">
        <v>6</v>
      </c>
      <c r="AL52" s="1">
        <f t="shared" si="3"/>
        <v>1</v>
      </c>
    </row>
    <row r="53" spans="1:38" ht="12.75">
      <c r="A53" s="1">
        <v>48</v>
      </c>
      <c r="B53" s="10" t="s">
        <v>266</v>
      </c>
      <c r="C53" s="191">
        <f>VLOOKUP(MID(B53,1,8)-0,'1.8.2022'!$B$9:$G$160,3,FALSE)</f>
        <v>2058.71</v>
      </c>
      <c r="D53" s="191">
        <f>VLOOKUP(MID(B53,1,8)-0,'1.8.2022'!$B$9:$G$160,5,FALSE)</f>
        <v>2041.84</v>
      </c>
      <c r="E53" s="11">
        <f>IF('muut muuttujat'!$G$3=1,C53,KÄYTTÖTAULU!$B$13)</f>
        <v>2058.71</v>
      </c>
      <c r="F53" s="11">
        <f>IF('muut muuttujat'!$G$3=1,D53,KÄYTTÖTAULU!$B$13)</f>
        <v>2041.84</v>
      </c>
      <c r="G53" s="11">
        <f>KÄYTTÖTAULU!$F$6</f>
        <v>0</v>
      </c>
      <c r="H53" s="11">
        <f>KÄYTTÖTAULU!$F$6</f>
        <v>0</v>
      </c>
      <c r="I53" s="11">
        <f t="shared" si="17"/>
        <v>0</v>
      </c>
      <c r="J53" s="11">
        <f t="shared" si="21"/>
        <v>0</v>
      </c>
      <c r="K53" s="1" t="e">
        <f>ROUND(I53/KÄYTTÖTAULU!$I$8,2)</f>
        <v>#DIV/0!</v>
      </c>
      <c r="L53" s="1" t="e">
        <f>ROUND(J53/KÄYTTÖTAULU!$I$8,2)</f>
        <v>#DIV/0!</v>
      </c>
      <c r="M53" s="1" t="e">
        <f t="shared" si="18"/>
        <v>#DIV/0!</v>
      </c>
      <c r="N53" s="1" t="e">
        <f t="shared" si="19"/>
        <v>#DIV/0!</v>
      </c>
      <c r="O53" s="11"/>
      <c r="P53" s="11"/>
      <c r="Q53" s="11"/>
      <c r="R53" s="24">
        <v>0</v>
      </c>
      <c r="S53" s="25">
        <v>6</v>
      </c>
      <c r="T53" s="25">
        <v>2</v>
      </c>
      <c r="U53" s="25">
        <v>9</v>
      </c>
      <c r="V53" s="25">
        <v>6</v>
      </c>
      <c r="W53" s="49">
        <v>6</v>
      </c>
      <c r="X53" s="25">
        <v>1</v>
      </c>
      <c r="Y53" s="25">
        <f t="shared" si="0"/>
        <v>1.06</v>
      </c>
      <c r="Z53" s="25">
        <f t="shared" si="1"/>
        <v>1.0812000000000002</v>
      </c>
      <c r="AA53" s="25">
        <f t="shared" si="2"/>
        <v>1.1785080000000003</v>
      </c>
      <c r="AB53" s="25">
        <f t="shared" si="20"/>
        <v>1.2492184800000004</v>
      </c>
      <c r="AC53" s="49">
        <f t="shared" si="4"/>
        <v>1.3241715888000005</v>
      </c>
      <c r="AE53" s="1">
        <v>0</v>
      </c>
      <c r="AF53" s="1">
        <v>6</v>
      </c>
      <c r="AG53" s="1">
        <v>3</v>
      </c>
      <c r="AH53" s="1">
        <v>9</v>
      </c>
      <c r="AI53" s="1">
        <v>6</v>
      </c>
      <c r="AJ53" s="1">
        <v>6</v>
      </c>
      <c r="AL53" s="1">
        <f t="shared" si="3"/>
        <v>1</v>
      </c>
    </row>
    <row r="54" spans="1:38" ht="12.75">
      <c r="A54" s="1">
        <v>49</v>
      </c>
      <c r="B54" s="10" t="s">
        <v>267</v>
      </c>
      <c r="C54" s="191">
        <f>VLOOKUP(MID(B54,1,8)-0,'1.8.2022'!$B$9:$G$160,3,FALSE)</f>
        <v>3036.54</v>
      </c>
      <c r="D54" s="191">
        <f>VLOOKUP(MID(B54,1,8)-0,'1.8.2022'!$B$9:$G$160,5,FALSE)</f>
        <v>3007.81</v>
      </c>
      <c r="E54" s="11">
        <f>IF('muut muuttujat'!$G$3=1,C54,KÄYTTÖTAULU!$B$13)</f>
        <v>3036.54</v>
      </c>
      <c r="F54" s="11">
        <f>IF('muut muuttujat'!$G$3=1,D54,KÄYTTÖTAULU!$B$13)</f>
        <v>3007.81</v>
      </c>
      <c r="G54" s="11">
        <f>KÄYTTÖTAULU!$F$6</f>
        <v>0</v>
      </c>
      <c r="H54" s="11">
        <f>KÄYTTÖTAULU!$F$6</f>
        <v>0</v>
      </c>
      <c r="I54" s="11">
        <f t="shared" si="17"/>
        <v>0</v>
      </c>
      <c r="J54" s="11">
        <f t="shared" si="21"/>
        <v>0</v>
      </c>
      <c r="K54" s="1" t="e">
        <f>ROUND(I54/KÄYTTÖTAULU!$I$8,2)</f>
        <v>#DIV/0!</v>
      </c>
      <c r="L54" s="1" t="e">
        <f>ROUND(J54/KÄYTTÖTAULU!$I$8,2)</f>
        <v>#DIV/0!</v>
      </c>
      <c r="M54" s="1" t="e">
        <f t="shared" si="18"/>
        <v>#DIV/0!</v>
      </c>
      <c r="N54" s="1" t="e">
        <f t="shared" si="19"/>
        <v>#DIV/0!</v>
      </c>
      <c r="O54" s="11" t="e">
        <f>ROUND(ROUND(E54*0.83/KÄYTTÖTAULU!$I$8*12/38,2)*0.94,2)</f>
        <v>#DIV/0!</v>
      </c>
      <c r="P54" s="11" t="e">
        <f>ROUND(ROUND(F54*0.83/KÄYTTÖTAULU!$I$8*12/38,2)*0.94,2)</f>
        <v>#DIV/0!</v>
      </c>
      <c r="Q54" s="11"/>
      <c r="R54" s="24">
        <v>0</v>
      </c>
      <c r="S54" s="25">
        <v>4</v>
      </c>
      <c r="T54" s="25">
        <v>3</v>
      </c>
      <c r="U54" s="25">
        <v>6</v>
      </c>
      <c r="V54" s="25">
        <v>6</v>
      </c>
      <c r="W54" s="49">
        <v>6</v>
      </c>
      <c r="X54" s="25">
        <v>1</v>
      </c>
      <c r="Y54" s="25">
        <f t="shared" si="0"/>
        <v>1.04</v>
      </c>
      <c r="Z54" s="25">
        <f t="shared" si="1"/>
        <v>1.0712000000000002</v>
      </c>
      <c r="AA54" s="25">
        <f t="shared" si="2"/>
        <v>1.1354720000000003</v>
      </c>
      <c r="AB54" s="25">
        <f t="shared" si="20"/>
        <v>1.2036003200000003</v>
      </c>
      <c r="AC54" s="49">
        <f t="shared" si="4"/>
        <v>1.2758163392000004</v>
      </c>
      <c r="AE54" s="1">
        <v>0</v>
      </c>
      <c r="AF54" s="1">
        <v>4</v>
      </c>
      <c r="AG54" s="1">
        <v>4</v>
      </c>
      <c r="AH54" s="1">
        <v>6</v>
      </c>
      <c r="AI54" s="1">
        <v>6</v>
      </c>
      <c r="AJ54" s="1">
        <v>6</v>
      </c>
      <c r="AL54" s="1">
        <f t="shared" si="3"/>
        <v>1</v>
      </c>
    </row>
    <row r="55" spans="1:38" ht="12.75">
      <c r="A55" s="1">
        <v>50</v>
      </c>
      <c r="B55" s="10" t="s">
        <v>268</v>
      </c>
      <c r="C55" s="191">
        <f>VLOOKUP(MID(B55,1,8)-0,'1.8.2022'!$B$9:$G$160,3,FALSE)</f>
        <v>2830.88</v>
      </c>
      <c r="D55" s="191">
        <f>VLOOKUP(MID(B55,1,8)-0,'1.8.2022'!$B$9:$G$160,5,FALSE)</f>
        <v>2804.13</v>
      </c>
      <c r="E55" s="11">
        <f>IF('muut muuttujat'!$G$3=1,C55,KÄYTTÖTAULU!$B$13)</f>
        <v>2830.88</v>
      </c>
      <c r="F55" s="11">
        <f>IF('muut muuttujat'!$G$3=1,D55,KÄYTTÖTAULU!$B$13)</f>
        <v>2804.13</v>
      </c>
      <c r="G55" s="11">
        <f>KÄYTTÖTAULU!$F$6</f>
        <v>0</v>
      </c>
      <c r="H55" s="11">
        <f>KÄYTTÖTAULU!$F$6</f>
        <v>0</v>
      </c>
      <c r="I55" s="11">
        <f t="shared" si="17"/>
        <v>0</v>
      </c>
      <c r="J55" s="11">
        <f t="shared" si="21"/>
        <v>0</v>
      </c>
      <c r="K55" s="1" t="e">
        <f>ROUND(I55/KÄYTTÖTAULU!$I$8,2)</f>
        <v>#DIV/0!</v>
      </c>
      <c r="L55" s="1" t="e">
        <f>ROUND(J55/KÄYTTÖTAULU!$I$8,2)</f>
        <v>#DIV/0!</v>
      </c>
      <c r="M55" s="1" t="e">
        <f t="shared" si="18"/>
        <v>#DIV/0!</v>
      </c>
      <c r="N55" s="1" t="e">
        <f t="shared" si="19"/>
        <v>#DIV/0!</v>
      </c>
      <c r="O55" s="11" t="e">
        <f>ROUND(ROUND(E55*0.83/KÄYTTÖTAULU!$I$8*12/38,2)*0.94,2)</f>
        <v>#DIV/0!</v>
      </c>
      <c r="P55" s="11" t="e">
        <f>ROUND(ROUND(F55*0.83/KÄYTTÖTAULU!$I$8*12/38,2)*0.94,2)</f>
        <v>#DIV/0!</v>
      </c>
      <c r="Q55" s="11"/>
      <c r="R55" s="24">
        <v>0</v>
      </c>
      <c r="S55" s="25">
        <v>4</v>
      </c>
      <c r="T55" s="25">
        <v>3</v>
      </c>
      <c r="U55" s="25">
        <v>6</v>
      </c>
      <c r="V55" s="25">
        <v>6</v>
      </c>
      <c r="W55" s="49">
        <v>6</v>
      </c>
      <c r="X55" s="25">
        <v>1</v>
      </c>
      <c r="Y55" s="25">
        <f t="shared" si="0"/>
        <v>1.04</v>
      </c>
      <c r="Z55" s="25">
        <f t="shared" si="1"/>
        <v>1.0712000000000002</v>
      </c>
      <c r="AA55" s="25">
        <f t="shared" si="2"/>
        <v>1.1354720000000003</v>
      </c>
      <c r="AB55" s="25">
        <f t="shared" si="20"/>
        <v>1.2036003200000003</v>
      </c>
      <c r="AC55" s="49">
        <f t="shared" si="4"/>
        <v>1.2758163392000004</v>
      </c>
      <c r="AE55" s="1">
        <v>0</v>
      </c>
      <c r="AF55" s="1">
        <v>4</v>
      </c>
      <c r="AG55" s="1">
        <v>4</v>
      </c>
      <c r="AH55" s="1">
        <v>6</v>
      </c>
      <c r="AI55" s="1">
        <v>6</v>
      </c>
      <c r="AJ55" s="1">
        <v>6</v>
      </c>
      <c r="AL55" s="1">
        <f t="shared" si="3"/>
        <v>1</v>
      </c>
    </row>
    <row r="56" spans="1:38" ht="12.75">
      <c r="A56" s="1">
        <v>51</v>
      </c>
      <c r="B56" s="10" t="s">
        <v>269</v>
      </c>
      <c r="C56" s="191">
        <f>VLOOKUP(MID(B56,1,8)-0,'1.8.2022'!$B$9:$G$160,3,FALSE)</f>
        <v>2481.36</v>
      </c>
      <c r="D56" s="191">
        <f>VLOOKUP(MID(B56,1,8)-0,'1.8.2022'!$B$9:$G$160,5,FALSE)</f>
        <v>2457.89</v>
      </c>
      <c r="E56" s="11">
        <f>IF('muut muuttujat'!$G$3=1,C56,KÄYTTÖTAULU!$B$13)</f>
        <v>2481.36</v>
      </c>
      <c r="F56" s="11">
        <f>IF('muut muuttujat'!$G$3=1,D56,KÄYTTÖTAULU!$B$13)</f>
        <v>2457.89</v>
      </c>
      <c r="G56" s="11">
        <f>KÄYTTÖTAULU!$F$6</f>
        <v>0</v>
      </c>
      <c r="H56" s="11">
        <f>KÄYTTÖTAULU!$F$6</f>
        <v>0</v>
      </c>
      <c r="I56" s="11">
        <f t="shared" si="17"/>
        <v>0</v>
      </c>
      <c r="J56" s="11">
        <f t="shared" si="21"/>
        <v>0</v>
      </c>
      <c r="K56" s="1" t="e">
        <f>ROUND(I56/KÄYTTÖTAULU!$I$8,2)</f>
        <v>#DIV/0!</v>
      </c>
      <c r="L56" s="1" t="e">
        <f>ROUND(J56/KÄYTTÖTAULU!$I$8,2)</f>
        <v>#DIV/0!</v>
      </c>
      <c r="M56" s="1" t="e">
        <f t="shared" si="18"/>
        <v>#DIV/0!</v>
      </c>
      <c r="N56" s="1" t="e">
        <f t="shared" si="19"/>
        <v>#DIV/0!</v>
      </c>
      <c r="O56" s="11" t="e">
        <f>ROUND(ROUND(E56*0.83/KÄYTTÖTAULU!$I$8*12/38,2)*0.94,2)</f>
        <v>#DIV/0!</v>
      </c>
      <c r="P56" s="11" t="e">
        <f>ROUND(ROUND(F56*0.83/KÄYTTÖTAULU!$I$8*12/38,2)*0.94,2)</f>
        <v>#DIV/0!</v>
      </c>
      <c r="Q56" s="11"/>
      <c r="R56" s="24">
        <v>0</v>
      </c>
      <c r="S56" s="25">
        <v>4</v>
      </c>
      <c r="T56" s="25">
        <v>3</v>
      </c>
      <c r="U56" s="25">
        <v>6</v>
      </c>
      <c r="V56" s="25">
        <v>6</v>
      </c>
      <c r="W56" s="49">
        <v>6</v>
      </c>
      <c r="X56" s="25">
        <v>1</v>
      </c>
      <c r="Y56" s="25">
        <f t="shared" si="0"/>
        <v>1.04</v>
      </c>
      <c r="Z56" s="25">
        <f t="shared" si="1"/>
        <v>1.0712000000000002</v>
      </c>
      <c r="AA56" s="25">
        <f t="shared" si="2"/>
        <v>1.1354720000000003</v>
      </c>
      <c r="AB56" s="25">
        <f t="shared" si="20"/>
        <v>1.2036003200000003</v>
      </c>
      <c r="AC56" s="49">
        <f t="shared" si="4"/>
        <v>1.2758163392000004</v>
      </c>
      <c r="AE56" s="1">
        <v>0</v>
      </c>
      <c r="AF56" s="1">
        <v>4</v>
      </c>
      <c r="AG56" s="1">
        <v>4</v>
      </c>
      <c r="AH56" s="1">
        <v>6</v>
      </c>
      <c r="AI56" s="1">
        <v>6</v>
      </c>
      <c r="AJ56" s="1">
        <v>6</v>
      </c>
      <c r="AL56" s="1">
        <f t="shared" si="3"/>
        <v>1</v>
      </c>
    </row>
    <row r="57" spans="1:38" ht="12.75">
      <c r="A57" s="1">
        <v>52</v>
      </c>
      <c r="B57" s="10" t="s">
        <v>270</v>
      </c>
      <c r="C57" s="191">
        <f>VLOOKUP(MID(B57,1,8)-0,'1.8.2022'!$B$9:$G$160,3,FALSE)</f>
        <v>2375.13</v>
      </c>
      <c r="D57" s="191">
        <f>VLOOKUP(MID(B57,1,8)-0,'1.8.2022'!$B$9:$G$160,5,FALSE)</f>
        <v>2352.68</v>
      </c>
      <c r="E57" s="11">
        <f>IF('muut muuttujat'!$G$3=1,C57,KÄYTTÖTAULU!$B$13)</f>
        <v>2375.13</v>
      </c>
      <c r="F57" s="11">
        <f>IF('muut muuttujat'!$G$3=1,D57,KÄYTTÖTAULU!$B$13)</f>
        <v>2352.68</v>
      </c>
      <c r="G57" s="11">
        <f>KÄYTTÖTAULU!$F$6</f>
        <v>0</v>
      </c>
      <c r="H57" s="11">
        <f>KÄYTTÖTAULU!$F$6</f>
        <v>0</v>
      </c>
      <c r="I57" s="11">
        <f t="shared" si="17"/>
        <v>0</v>
      </c>
      <c r="J57" s="11">
        <f t="shared" si="21"/>
        <v>0</v>
      </c>
      <c r="K57" s="1" t="e">
        <f>ROUND(I57/KÄYTTÖTAULU!$I$8,2)</f>
        <v>#DIV/0!</v>
      </c>
      <c r="L57" s="1" t="e">
        <f>ROUND(J57/KÄYTTÖTAULU!$I$8,2)</f>
        <v>#DIV/0!</v>
      </c>
      <c r="M57" s="1" t="e">
        <f t="shared" si="18"/>
        <v>#DIV/0!</v>
      </c>
      <c r="N57" s="1" t="e">
        <f t="shared" si="19"/>
        <v>#DIV/0!</v>
      </c>
      <c r="O57" s="11" t="e">
        <f>ROUND(ROUND(E57*0.83/KÄYTTÖTAULU!$I$8*12/38,2)*0.94,2)</f>
        <v>#DIV/0!</v>
      </c>
      <c r="P57" s="11" t="e">
        <f>ROUND(ROUND(F57*0.83/KÄYTTÖTAULU!$I$8*12/38,2)*0.94,2)</f>
        <v>#DIV/0!</v>
      </c>
      <c r="Q57" s="11"/>
      <c r="R57" s="24">
        <v>0</v>
      </c>
      <c r="S57" s="25">
        <v>4</v>
      </c>
      <c r="T57" s="25">
        <v>3</v>
      </c>
      <c r="U57" s="25">
        <v>6</v>
      </c>
      <c r="V57" s="25">
        <v>6</v>
      </c>
      <c r="W57" s="49">
        <v>6</v>
      </c>
      <c r="X57" s="25">
        <v>1</v>
      </c>
      <c r="Y57" s="25">
        <f t="shared" si="0"/>
        <v>1.04</v>
      </c>
      <c r="Z57" s="25">
        <f t="shared" si="1"/>
        <v>1.0712000000000002</v>
      </c>
      <c r="AA57" s="25">
        <f t="shared" si="2"/>
        <v>1.1354720000000003</v>
      </c>
      <c r="AB57" s="25">
        <f t="shared" si="20"/>
        <v>1.2036003200000003</v>
      </c>
      <c r="AC57" s="49">
        <f t="shared" si="4"/>
        <v>1.2758163392000004</v>
      </c>
      <c r="AE57" s="1">
        <v>0</v>
      </c>
      <c r="AF57" s="1">
        <v>4</v>
      </c>
      <c r="AG57" s="1">
        <v>4</v>
      </c>
      <c r="AH57" s="1">
        <v>6</v>
      </c>
      <c r="AI57" s="1">
        <v>6</v>
      </c>
      <c r="AJ57" s="1">
        <v>6</v>
      </c>
      <c r="AL57" s="1">
        <f t="shared" si="3"/>
        <v>1</v>
      </c>
    </row>
    <row r="58" spans="1:38" ht="12.75">
      <c r="A58" s="1">
        <v>53</v>
      </c>
      <c r="B58" s="10" t="s">
        <v>271</v>
      </c>
      <c r="C58" s="191">
        <f>VLOOKUP(MID(B58,1,8)-0,'1.8.2022'!$B$9:$G$160,3,FALSE)</f>
        <v>2246.87</v>
      </c>
      <c r="D58" s="191">
        <f>VLOOKUP(MID(B58,1,8)-0,'1.8.2022'!$B$9:$G$160,5,FALSE)</f>
        <v>2226.07</v>
      </c>
      <c r="E58" s="11">
        <f>IF('muut muuttujat'!$G$3=1,C58,KÄYTTÖTAULU!$B$13)</f>
        <v>2246.87</v>
      </c>
      <c r="F58" s="11">
        <f>IF('muut muuttujat'!$G$3=1,D58,KÄYTTÖTAULU!$B$13)</f>
        <v>2226.07</v>
      </c>
      <c r="G58" s="11">
        <f>KÄYTTÖTAULU!$F$6</f>
        <v>0</v>
      </c>
      <c r="H58" s="11">
        <f>KÄYTTÖTAULU!$F$6</f>
        <v>0</v>
      </c>
      <c r="I58" s="11">
        <f t="shared" si="17"/>
        <v>0</v>
      </c>
      <c r="J58" s="11">
        <f t="shared" si="21"/>
        <v>0</v>
      </c>
      <c r="K58" s="1" t="e">
        <f>ROUND(I58/KÄYTTÖTAULU!$I$8,2)</f>
        <v>#DIV/0!</v>
      </c>
      <c r="L58" s="1" t="e">
        <f>ROUND(J58/KÄYTTÖTAULU!$I$8,2)</f>
        <v>#DIV/0!</v>
      </c>
      <c r="M58" s="1" t="e">
        <f t="shared" si="18"/>
        <v>#DIV/0!</v>
      </c>
      <c r="N58" s="1" t="e">
        <f t="shared" si="19"/>
        <v>#DIV/0!</v>
      </c>
      <c r="O58" s="11" t="e">
        <f>ROUND(ROUND(E58*0.83/KÄYTTÖTAULU!$I$8*12/38,2)*0.94,2)</f>
        <v>#DIV/0!</v>
      </c>
      <c r="P58" s="11" t="e">
        <f>ROUND(ROUND(F58*0.83/KÄYTTÖTAULU!$I$8*12/38,2)*0.94,2)</f>
        <v>#DIV/0!</v>
      </c>
      <c r="Q58" s="11"/>
      <c r="R58" s="24">
        <v>0</v>
      </c>
      <c r="S58" s="25">
        <v>4</v>
      </c>
      <c r="T58" s="25">
        <v>3</v>
      </c>
      <c r="U58" s="25">
        <v>6</v>
      </c>
      <c r="V58" s="25">
        <v>6</v>
      </c>
      <c r="W58" s="49">
        <v>6</v>
      </c>
      <c r="X58" s="25">
        <v>1</v>
      </c>
      <c r="Y58" s="25">
        <f t="shared" si="0"/>
        <v>1.04</v>
      </c>
      <c r="Z58" s="25">
        <f t="shared" si="1"/>
        <v>1.0712000000000002</v>
      </c>
      <c r="AA58" s="25">
        <f t="shared" si="2"/>
        <v>1.1354720000000003</v>
      </c>
      <c r="AB58" s="25">
        <f t="shared" si="20"/>
        <v>1.2036003200000003</v>
      </c>
      <c r="AC58" s="49">
        <f t="shared" si="4"/>
        <v>1.2758163392000004</v>
      </c>
      <c r="AE58" s="1">
        <v>0</v>
      </c>
      <c r="AF58" s="1">
        <v>4</v>
      </c>
      <c r="AG58" s="1">
        <v>4</v>
      </c>
      <c r="AH58" s="1">
        <v>6</v>
      </c>
      <c r="AI58" s="1">
        <v>6</v>
      </c>
      <c r="AJ58" s="1">
        <v>6</v>
      </c>
      <c r="AL58" s="1">
        <f t="shared" si="3"/>
        <v>1</v>
      </c>
    </row>
    <row r="59" spans="1:38" ht="12.75">
      <c r="A59" s="1">
        <v>54</v>
      </c>
      <c r="B59" s="10" t="s">
        <v>272</v>
      </c>
      <c r="C59" s="191">
        <f>VLOOKUP(MID(B59,1,8)-0,'1.8.2022'!$B$9:$G$160,3,FALSE)</f>
        <v>3057.62</v>
      </c>
      <c r="D59" s="191">
        <f>VLOOKUP(MID(B59,1,8)-0,'1.8.2022'!$B$9:$G$160,5,FALSE)</f>
        <v>3028.71</v>
      </c>
      <c r="E59" s="11">
        <f>IF('muut muuttujat'!$G$3=1,C59,KÄYTTÖTAULU!$B$13)</f>
        <v>3057.62</v>
      </c>
      <c r="F59" s="11">
        <f>IF('muut muuttujat'!$G$3=1,D59,KÄYTTÖTAULU!$B$13)</f>
        <v>3028.71</v>
      </c>
      <c r="G59" s="11">
        <f>KÄYTTÖTAULU!$F$6</f>
        <v>0</v>
      </c>
      <c r="H59" s="11">
        <f>KÄYTTÖTAULU!$F$6</f>
        <v>0</v>
      </c>
      <c r="I59" s="11">
        <f t="shared" si="17"/>
        <v>0</v>
      </c>
      <c r="J59" s="11">
        <f t="shared" si="21"/>
        <v>0</v>
      </c>
      <c r="K59" s="1" t="e">
        <f>ROUND(I59/KÄYTTÖTAULU!$I$8,2)</f>
        <v>#DIV/0!</v>
      </c>
      <c r="L59" s="1" t="e">
        <f>ROUND(J59/KÄYTTÖTAULU!$I$8,2)</f>
        <v>#DIV/0!</v>
      </c>
      <c r="M59" s="1" t="e">
        <f t="shared" si="18"/>
        <v>#DIV/0!</v>
      </c>
      <c r="N59" s="1" t="e">
        <f t="shared" si="19"/>
        <v>#DIV/0!</v>
      </c>
      <c r="O59" s="11" t="e">
        <f>ROUND(ROUND(E59*0.83/KÄYTTÖTAULU!$I$8*12/38,2)*0.94,2)</f>
        <v>#DIV/0!</v>
      </c>
      <c r="P59" s="11" t="e">
        <f>ROUND(ROUND(F59*0.83/KÄYTTÖTAULU!$I$8*12/38,2)*0.94,2)</f>
        <v>#DIV/0!</v>
      </c>
      <c r="Q59" s="11"/>
      <c r="R59" s="24">
        <v>0</v>
      </c>
      <c r="S59" s="25">
        <v>4</v>
      </c>
      <c r="T59" s="25">
        <v>3</v>
      </c>
      <c r="U59" s="25">
        <v>6</v>
      </c>
      <c r="V59" s="25">
        <v>6</v>
      </c>
      <c r="W59" s="49">
        <v>6</v>
      </c>
      <c r="X59" s="25">
        <v>1</v>
      </c>
      <c r="Y59" s="25">
        <f t="shared" si="0"/>
        <v>1.04</v>
      </c>
      <c r="Z59" s="25">
        <f t="shared" si="1"/>
        <v>1.0712000000000002</v>
      </c>
      <c r="AA59" s="25">
        <f t="shared" si="2"/>
        <v>1.1354720000000003</v>
      </c>
      <c r="AB59" s="25">
        <f t="shared" si="20"/>
        <v>1.2036003200000003</v>
      </c>
      <c r="AC59" s="49">
        <f t="shared" si="4"/>
        <v>1.2758163392000004</v>
      </c>
      <c r="AE59" s="1">
        <v>0</v>
      </c>
      <c r="AF59" s="1">
        <v>4</v>
      </c>
      <c r="AG59" s="1">
        <v>4</v>
      </c>
      <c r="AH59" s="1">
        <v>6</v>
      </c>
      <c r="AI59" s="1">
        <v>6</v>
      </c>
      <c r="AJ59" s="1">
        <v>6</v>
      </c>
      <c r="AL59" s="1">
        <f t="shared" si="3"/>
        <v>1</v>
      </c>
    </row>
    <row r="60" spans="1:38" ht="12.75">
      <c r="A60" s="1">
        <v>55</v>
      </c>
      <c r="B60" s="10" t="s">
        <v>273</v>
      </c>
      <c r="C60" s="191">
        <f>VLOOKUP(MID(B60,1,8)-0,'1.8.2022'!$B$9:$G$160,3,FALSE)</f>
        <v>2950.71</v>
      </c>
      <c r="D60" s="191">
        <f>VLOOKUP(MID(B60,1,8)-0,'1.8.2022'!$B$9:$G$160,5,FALSE)</f>
        <v>2922.79</v>
      </c>
      <c r="E60" s="11">
        <f>IF('muut muuttujat'!$G$3=1,C60,KÄYTTÖTAULU!$B$13)</f>
        <v>2950.71</v>
      </c>
      <c r="F60" s="11">
        <f>IF('muut muuttujat'!$G$3=1,D60,KÄYTTÖTAULU!$B$13)</f>
        <v>2922.79</v>
      </c>
      <c r="G60" s="11">
        <f>KÄYTTÖTAULU!$F$6</f>
        <v>0</v>
      </c>
      <c r="H60" s="11">
        <f>KÄYTTÖTAULU!$F$6</f>
        <v>0</v>
      </c>
      <c r="I60" s="11">
        <f t="shared" si="17"/>
        <v>0</v>
      </c>
      <c r="J60" s="11">
        <f t="shared" si="21"/>
        <v>0</v>
      </c>
      <c r="K60" s="1" t="e">
        <f>ROUND(I60/KÄYTTÖTAULU!$I$8,2)</f>
        <v>#DIV/0!</v>
      </c>
      <c r="L60" s="1" t="e">
        <f>ROUND(J60/KÄYTTÖTAULU!$I$8,2)</f>
        <v>#DIV/0!</v>
      </c>
      <c r="M60" s="1" t="e">
        <f t="shared" si="18"/>
        <v>#DIV/0!</v>
      </c>
      <c r="N60" s="1" t="e">
        <f t="shared" si="19"/>
        <v>#DIV/0!</v>
      </c>
      <c r="O60" s="11" t="e">
        <f>ROUND(ROUND(E60*0.83/KÄYTTÖTAULU!$I$8*12/38,2)*0.94,2)</f>
        <v>#DIV/0!</v>
      </c>
      <c r="P60" s="11" t="e">
        <f>ROUND(ROUND(F60*0.83/KÄYTTÖTAULU!$I$8*12/38,2)*0.94,2)</f>
        <v>#DIV/0!</v>
      </c>
      <c r="Q60" s="11"/>
      <c r="R60" s="24">
        <v>0</v>
      </c>
      <c r="S60" s="25">
        <v>4</v>
      </c>
      <c r="T60" s="25">
        <v>3</v>
      </c>
      <c r="U60" s="25">
        <v>6</v>
      </c>
      <c r="V60" s="25">
        <v>6</v>
      </c>
      <c r="W60" s="49">
        <v>6</v>
      </c>
      <c r="X60" s="25">
        <v>1</v>
      </c>
      <c r="Y60" s="25">
        <f t="shared" si="0"/>
        <v>1.04</v>
      </c>
      <c r="Z60" s="25">
        <f t="shared" si="1"/>
        <v>1.0712000000000002</v>
      </c>
      <c r="AA60" s="25">
        <f t="shared" si="2"/>
        <v>1.1354720000000003</v>
      </c>
      <c r="AB60" s="25">
        <f t="shared" si="20"/>
        <v>1.2036003200000003</v>
      </c>
      <c r="AC60" s="49">
        <f t="shared" si="4"/>
        <v>1.2758163392000004</v>
      </c>
      <c r="AE60" s="1">
        <v>0</v>
      </c>
      <c r="AF60" s="1">
        <v>4</v>
      </c>
      <c r="AG60" s="1">
        <v>4</v>
      </c>
      <c r="AH60" s="1">
        <v>6</v>
      </c>
      <c r="AI60" s="1">
        <v>6</v>
      </c>
      <c r="AJ60" s="1">
        <v>6</v>
      </c>
      <c r="AL60" s="1">
        <f t="shared" si="3"/>
        <v>1</v>
      </c>
    </row>
    <row r="61" spans="1:38" ht="12.75">
      <c r="A61" s="1">
        <v>56</v>
      </c>
      <c r="B61" s="10" t="s">
        <v>274</v>
      </c>
      <c r="C61" s="191">
        <f>VLOOKUP(MID(B61,1,8)-0,'1.8.2022'!$B$9:$G$160,3,FALSE)</f>
        <v>2856.12</v>
      </c>
      <c r="D61" s="191">
        <f>VLOOKUP(MID(B61,1,8)-0,'1.8.2022'!$B$9:$G$160,5,FALSE)</f>
        <v>2829.08</v>
      </c>
      <c r="E61" s="11">
        <f>IF('muut muuttujat'!$G$3=1,C61,KÄYTTÖTAULU!$B$13)</f>
        <v>2856.12</v>
      </c>
      <c r="F61" s="11">
        <f>IF('muut muuttujat'!$G$3=1,D61,KÄYTTÖTAULU!$B$13)</f>
        <v>2829.08</v>
      </c>
      <c r="G61" s="11">
        <f>KÄYTTÖTAULU!$F$6</f>
        <v>0</v>
      </c>
      <c r="H61" s="11">
        <f>KÄYTTÖTAULU!$F$6</f>
        <v>0</v>
      </c>
      <c r="I61" s="11">
        <f t="shared" si="17"/>
        <v>0</v>
      </c>
      <c r="J61" s="11">
        <f t="shared" si="21"/>
        <v>0</v>
      </c>
      <c r="K61" s="1" t="e">
        <f>ROUND(I61/KÄYTTÖTAULU!$I$8,2)</f>
        <v>#DIV/0!</v>
      </c>
      <c r="L61" s="1" t="e">
        <f>ROUND(J61/KÄYTTÖTAULU!$I$8,2)</f>
        <v>#DIV/0!</v>
      </c>
      <c r="M61" s="1" t="e">
        <f t="shared" si="18"/>
        <v>#DIV/0!</v>
      </c>
      <c r="N61" s="1" t="e">
        <f t="shared" si="19"/>
        <v>#DIV/0!</v>
      </c>
      <c r="O61" s="11" t="e">
        <f>ROUND(ROUND(E61*0.83/KÄYTTÖTAULU!$I$8*12/38,2)*0.94,2)</f>
        <v>#DIV/0!</v>
      </c>
      <c r="P61" s="11" t="e">
        <f>ROUND(ROUND(F61*0.83/KÄYTTÖTAULU!$I$8*12/38,2)*0.94,2)</f>
        <v>#DIV/0!</v>
      </c>
      <c r="Q61" s="11"/>
      <c r="R61" s="24">
        <v>0</v>
      </c>
      <c r="S61" s="25">
        <v>4</v>
      </c>
      <c r="T61" s="25">
        <v>3</v>
      </c>
      <c r="U61" s="25">
        <v>6</v>
      </c>
      <c r="V61" s="25">
        <v>6</v>
      </c>
      <c r="W61" s="49">
        <v>6</v>
      </c>
      <c r="X61" s="25">
        <v>1</v>
      </c>
      <c r="Y61" s="25">
        <f t="shared" si="0"/>
        <v>1.04</v>
      </c>
      <c r="Z61" s="25">
        <f t="shared" si="1"/>
        <v>1.0712000000000002</v>
      </c>
      <c r="AA61" s="25">
        <f t="shared" si="2"/>
        <v>1.1354720000000003</v>
      </c>
      <c r="AB61" s="25">
        <f t="shared" si="20"/>
        <v>1.2036003200000003</v>
      </c>
      <c r="AC61" s="49">
        <f t="shared" si="4"/>
        <v>1.2758163392000004</v>
      </c>
      <c r="AE61" s="1">
        <v>0</v>
      </c>
      <c r="AF61" s="1">
        <v>4</v>
      </c>
      <c r="AG61" s="1">
        <v>4</v>
      </c>
      <c r="AH61" s="1">
        <v>6</v>
      </c>
      <c r="AI61" s="1">
        <v>6</v>
      </c>
      <c r="AJ61" s="1">
        <v>6</v>
      </c>
      <c r="AL61" s="1">
        <f t="shared" si="3"/>
        <v>1</v>
      </c>
    </row>
    <row r="62" spans="1:38" ht="12.75">
      <c r="A62" s="1">
        <v>57</v>
      </c>
      <c r="B62" s="10" t="s">
        <v>275</v>
      </c>
      <c r="C62" s="191">
        <f>VLOOKUP(MID(B62,1,8)-0,'1.8.2022'!$B$9:$G$160,3,FALSE)</f>
        <v>2811.59</v>
      </c>
      <c r="D62" s="191">
        <f>VLOOKUP(MID(B62,1,8)-0,'1.8.2022'!$B$9:$G$160,5,FALSE)</f>
        <v>2785.02</v>
      </c>
      <c r="E62" s="11">
        <f>IF('muut muuttujat'!$G$3=1,C62,KÄYTTÖTAULU!$B$13)</f>
        <v>2811.59</v>
      </c>
      <c r="F62" s="11">
        <f>IF('muut muuttujat'!$G$3=1,D62,KÄYTTÖTAULU!$B$13)</f>
        <v>2785.02</v>
      </c>
      <c r="G62" s="11">
        <f>KÄYTTÖTAULU!$F$6</f>
        <v>0</v>
      </c>
      <c r="H62" s="11">
        <f>KÄYTTÖTAULU!$F$6</f>
        <v>0</v>
      </c>
      <c r="I62" s="11">
        <f t="shared" si="17"/>
        <v>0</v>
      </c>
      <c r="J62" s="11">
        <f t="shared" si="21"/>
        <v>0</v>
      </c>
      <c r="K62" s="1" t="e">
        <f>ROUND(I62/KÄYTTÖTAULU!$I$8,2)</f>
        <v>#DIV/0!</v>
      </c>
      <c r="L62" s="1" t="e">
        <f>ROUND(J62/KÄYTTÖTAULU!$I$8,2)</f>
        <v>#DIV/0!</v>
      </c>
      <c r="M62" s="1" t="e">
        <f t="shared" si="18"/>
        <v>#DIV/0!</v>
      </c>
      <c r="N62" s="1" t="e">
        <f t="shared" si="19"/>
        <v>#DIV/0!</v>
      </c>
      <c r="O62" s="11" t="e">
        <f>ROUND(ROUND(E62*0.83/KÄYTTÖTAULU!$I$8*12/38,2)*0.94,2)</f>
        <v>#DIV/0!</v>
      </c>
      <c r="P62" s="11" t="e">
        <f>ROUND(ROUND(F62*0.83/KÄYTTÖTAULU!$I$8*12/38,2)*0.94,2)</f>
        <v>#DIV/0!</v>
      </c>
      <c r="Q62" s="11"/>
      <c r="R62" s="24">
        <v>0</v>
      </c>
      <c r="S62" s="25">
        <v>4</v>
      </c>
      <c r="T62" s="25">
        <v>3</v>
      </c>
      <c r="U62" s="25">
        <v>6</v>
      </c>
      <c r="V62" s="25">
        <v>6</v>
      </c>
      <c r="W62" s="49">
        <v>6</v>
      </c>
      <c r="X62" s="25">
        <v>1</v>
      </c>
      <c r="Y62" s="25">
        <f t="shared" si="0"/>
        <v>1.04</v>
      </c>
      <c r="Z62" s="25">
        <f t="shared" si="1"/>
        <v>1.0712000000000002</v>
      </c>
      <c r="AA62" s="25">
        <f t="shared" si="2"/>
        <v>1.1354720000000003</v>
      </c>
      <c r="AB62" s="25">
        <f t="shared" si="20"/>
        <v>1.2036003200000003</v>
      </c>
      <c r="AC62" s="49">
        <f t="shared" si="4"/>
        <v>1.2758163392000004</v>
      </c>
      <c r="AE62" s="1">
        <v>0</v>
      </c>
      <c r="AF62" s="1">
        <v>4</v>
      </c>
      <c r="AG62" s="1">
        <v>4</v>
      </c>
      <c r="AH62" s="1">
        <v>6</v>
      </c>
      <c r="AI62" s="1">
        <v>6</v>
      </c>
      <c r="AJ62" s="1">
        <v>6</v>
      </c>
      <c r="AL62" s="1">
        <f t="shared" si="3"/>
        <v>1</v>
      </c>
    </row>
    <row r="63" spans="1:38" ht="12.75">
      <c r="A63" s="1">
        <v>58</v>
      </c>
      <c r="B63" s="10" t="s">
        <v>276</v>
      </c>
      <c r="C63" s="191">
        <f>VLOOKUP(MID(B63,1,8)-0,'1.8.2022'!$B$9:$G$160,3,FALSE)</f>
        <v>2694.65</v>
      </c>
      <c r="D63" s="191">
        <f>VLOOKUP(MID(B63,1,8)-0,'1.8.2022'!$B$9:$G$160,5,FALSE)</f>
        <v>2669.22</v>
      </c>
      <c r="E63" s="11">
        <f>IF('muut muuttujat'!$G$3=1,C63,KÄYTTÖTAULU!$B$13)</f>
        <v>2694.65</v>
      </c>
      <c r="F63" s="11">
        <f>IF('muut muuttujat'!$G$3=1,D63,KÄYTTÖTAULU!$B$13)</f>
        <v>2669.22</v>
      </c>
      <c r="G63" s="11">
        <f>KÄYTTÖTAULU!$F$6</f>
        <v>0</v>
      </c>
      <c r="H63" s="11">
        <f>KÄYTTÖTAULU!$F$6</f>
        <v>0</v>
      </c>
      <c r="I63" s="11">
        <f t="shared" si="17"/>
        <v>0</v>
      </c>
      <c r="J63" s="11">
        <f t="shared" si="21"/>
        <v>0</v>
      </c>
      <c r="K63" s="1" t="e">
        <f>ROUND(I63/KÄYTTÖTAULU!$I$8,2)</f>
        <v>#DIV/0!</v>
      </c>
      <c r="L63" s="1" t="e">
        <f>ROUND(J63/KÄYTTÖTAULU!$I$8,2)</f>
        <v>#DIV/0!</v>
      </c>
      <c r="M63" s="1" t="e">
        <f t="shared" si="18"/>
        <v>#DIV/0!</v>
      </c>
      <c r="N63" s="1" t="e">
        <f t="shared" si="19"/>
        <v>#DIV/0!</v>
      </c>
      <c r="O63" s="11" t="e">
        <f>ROUND(ROUND(E63*0.83/KÄYTTÖTAULU!$I$8*12/38,2)*0.94,2)</f>
        <v>#DIV/0!</v>
      </c>
      <c r="P63" s="11" t="e">
        <f>ROUND(ROUND(F63*0.83/KÄYTTÖTAULU!$I$8*12/38,2)*0.94,2)</f>
        <v>#DIV/0!</v>
      </c>
      <c r="Q63" s="11"/>
      <c r="R63" s="24">
        <v>0</v>
      </c>
      <c r="S63" s="25">
        <v>4</v>
      </c>
      <c r="T63" s="25">
        <v>3</v>
      </c>
      <c r="U63" s="25">
        <v>6</v>
      </c>
      <c r="V63" s="25">
        <v>6</v>
      </c>
      <c r="W63" s="49">
        <v>6</v>
      </c>
      <c r="X63" s="25">
        <v>1</v>
      </c>
      <c r="Y63" s="25">
        <f t="shared" si="0"/>
        <v>1.04</v>
      </c>
      <c r="Z63" s="25">
        <f t="shared" si="1"/>
        <v>1.0712000000000002</v>
      </c>
      <c r="AA63" s="25">
        <f t="shared" si="2"/>
        <v>1.1354720000000003</v>
      </c>
      <c r="AB63" s="25">
        <f t="shared" si="20"/>
        <v>1.2036003200000003</v>
      </c>
      <c r="AC63" s="49">
        <f t="shared" si="4"/>
        <v>1.2758163392000004</v>
      </c>
      <c r="AE63" s="1">
        <v>0</v>
      </c>
      <c r="AF63" s="1">
        <v>4</v>
      </c>
      <c r="AG63" s="1">
        <v>4</v>
      </c>
      <c r="AH63" s="1">
        <v>6</v>
      </c>
      <c r="AI63" s="1">
        <v>6</v>
      </c>
      <c r="AJ63" s="1">
        <v>6</v>
      </c>
      <c r="AL63" s="1">
        <f t="shared" si="3"/>
        <v>1</v>
      </c>
    </row>
    <row r="64" spans="1:38" ht="12.75">
      <c r="A64" s="1">
        <v>59</v>
      </c>
      <c r="B64" s="10" t="s">
        <v>277</v>
      </c>
      <c r="C64" s="191">
        <f>VLOOKUP(MID(B64,1,8)-0,'1.8.2022'!$B$9:$G$160,3,FALSE)</f>
        <v>2355.22</v>
      </c>
      <c r="D64" s="191">
        <f>VLOOKUP(MID(B64,1,8)-0,'1.8.2022'!$B$9:$G$160,5,FALSE)</f>
        <v>2333.19</v>
      </c>
      <c r="E64" s="11">
        <f>IF('muut muuttujat'!$G$3=1,C64,KÄYTTÖTAULU!$B$13)</f>
        <v>2355.22</v>
      </c>
      <c r="F64" s="11">
        <f>IF('muut muuttujat'!$G$3=1,D64,KÄYTTÖTAULU!$B$13)</f>
        <v>2333.19</v>
      </c>
      <c r="G64" s="11">
        <f>KÄYTTÖTAULU!$F$6</f>
        <v>0</v>
      </c>
      <c r="H64" s="11">
        <f>KÄYTTÖTAULU!$F$6</f>
        <v>0</v>
      </c>
      <c r="I64" s="11">
        <f t="shared" si="17"/>
        <v>0</v>
      </c>
      <c r="J64" s="11">
        <f t="shared" si="21"/>
        <v>0</v>
      </c>
      <c r="K64" s="1" t="e">
        <f>ROUND(I64/KÄYTTÖTAULU!$I$8,2)</f>
        <v>#DIV/0!</v>
      </c>
      <c r="L64" s="1" t="e">
        <f>ROUND(J64/KÄYTTÖTAULU!$I$8,2)</f>
        <v>#DIV/0!</v>
      </c>
      <c r="M64" s="1" t="e">
        <f t="shared" si="18"/>
        <v>#DIV/0!</v>
      </c>
      <c r="N64" s="1" t="e">
        <f t="shared" si="19"/>
        <v>#DIV/0!</v>
      </c>
      <c r="O64" s="11" t="e">
        <f>ROUND(ROUND(E64*0.83/KÄYTTÖTAULU!$I$8*12/38,2)*0.94,2)</f>
        <v>#DIV/0!</v>
      </c>
      <c r="P64" s="11" t="e">
        <f>ROUND(ROUND(F64*0.83/KÄYTTÖTAULU!$I$8*12/38,2)*0.94,2)</f>
        <v>#DIV/0!</v>
      </c>
      <c r="Q64" s="11"/>
      <c r="R64" s="24">
        <v>0</v>
      </c>
      <c r="S64" s="25">
        <v>4</v>
      </c>
      <c r="T64" s="25">
        <v>3</v>
      </c>
      <c r="U64" s="25">
        <v>6</v>
      </c>
      <c r="V64" s="25">
        <v>6</v>
      </c>
      <c r="W64" s="49">
        <v>6</v>
      </c>
      <c r="X64" s="25">
        <v>1</v>
      </c>
      <c r="Y64" s="25">
        <f t="shared" si="0"/>
        <v>1.04</v>
      </c>
      <c r="Z64" s="25">
        <f t="shared" si="1"/>
        <v>1.0712000000000002</v>
      </c>
      <c r="AA64" s="25">
        <f t="shared" si="2"/>
        <v>1.1354720000000003</v>
      </c>
      <c r="AB64" s="25">
        <f t="shared" si="20"/>
        <v>1.2036003200000003</v>
      </c>
      <c r="AC64" s="49">
        <f t="shared" si="4"/>
        <v>1.2758163392000004</v>
      </c>
      <c r="AE64" s="1">
        <v>0</v>
      </c>
      <c r="AF64" s="1">
        <v>4</v>
      </c>
      <c r="AG64" s="1">
        <v>4</v>
      </c>
      <c r="AH64" s="1">
        <v>6</v>
      </c>
      <c r="AI64" s="1">
        <v>6</v>
      </c>
      <c r="AJ64" s="1">
        <v>6</v>
      </c>
      <c r="AL64" s="1">
        <f t="shared" si="3"/>
        <v>1</v>
      </c>
    </row>
    <row r="65" spans="1:38" ht="12.75">
      <c r="A65" s="1">
        <v>60</v>
      </c>
      <c r="B65" s="10" t="s">
        <v>278</v>
      </c>
      <c r="C65" s="191">
        <f>VLOOKUP(MID(B65,1,8)-0,'1.8.2022'!$B$9:$G$160,3,FALSE)</f>
        <v>3036.54</v>
      </c>
      <c r="D65" s="191">
        <f>VLOOKUP(MID(B65,1,8)-0,'1.8.2022'!$B$9:$G$160,5,FALSE)</f>
        <v>3007.81</v>
      </c>
      <c r="E65" s="11">
        <f>IF('muut muuttujat'!$G$3=1,C65,KÄYTTÖTAULU!$B$13)</f>
        <v>3036.54</v>
      </c>
      <c r="F65" s="11">
        <f>IF('muut muuttujat'!$G$3=1,D65,KÄYTTÖTAULU!$B$13)</f>
        <v>3007.81</v>
      </c>
      <c r="G65" s="11">
        <f>KÄYTTÖTAULU!$F$6</f>
        <v>0</v>
      </c>
      <c r="H65" s="11">
        <f>KÄYTTÖTAULU!$F$6</f>
        <v>0</v>
      </c>
      <c r="I65" s="11">
        <f t="shared" si="17"/>
        <v>0</v>
      </c>
      <c r="J65" s="11">
        <f t="shared" si="21"/>
        <v>0</v>
      </c>
      <c r="K65" s="1" t="e">
        <f>ROUND(I65/KÄYTTÖTAULU!$I$8,2)</f>
        <v>#DIV/0!</v>
      </c>
      <c r="L65" s="1" t="e">
        <f>ROUND(J65/KÄYTTÖTAULU!$I$8,2)</f>
        <v>#DIV/0!</v>
      </c>
      <c r="M65" s="1" t="e">
        <f t="shared" si="18"/>
        <v>#DIV/0!</v>
      </c>
      <c r="N65" s="1" t="e">
        <f t="shared" si="19"/>
        <v>#DIV/0!</v>
      </c>
      <c r="O65" s="11" t="e">
        <f>ROUND(ROUND(E65*0.83/KÄYTTÖTAULU!$I$8*12/38,2)*0.94,2)</f>
        <v>#DIV/0!</v>
      </c>
      <c r="P65" s="11" t="e">
        <f>ROUND(ROUND(F65*0.83/KÄYTTÖTAULU!$I$8*12/38,2)*0.94,2)</f>
        <v>#DIV/0!</v>
      </c>
      <c r="Q65" s="11"/>
      <c r="R65" s="24">
        <v>0</v>
      </c>
      <c r="S65" s="25">
        <v>4</v>
      </c>
      <c r="T65" s="25">
        <v>3</v>
      </c>
      <c r="U65" s="25">
        <v>6</v>
      </c>
      <c r="V65" s="25">
        <v>6</v>
      </c>
      <c r="W65" s="49">
        <v>6</v>
      </c>
      <c r="X65" s="25">
        <v>1</v>
      </c>
      <c r="Y65" s="25">
        <f t="shared" si="0"/>
        <v>1.04</v>
      </c>
      <c r="Z65" s="25">
        <f t="shared" si="1"/>
        <v>1.0712000000000002</v>
      </c>
      <c r="AA65" s="25">
        <f t="shared" si="2"/>
        <v>1.1354720000000003</v>
      </c>
      <c r="AB65" s="25">
        <f t="shared" si="20"/>
        <v>1.2036003200000003</v>
      </c>
      <c r="AC65" s="49">
        <f t="shared" si="4"/>
        <v>1.2758163392000004</v>
      </c>
      <c r="AE65" s="1">
        <v>0</v>
      </c>
      <c r="AF65" s="1">
        <v>4</v>
      </c>
      <c r="AG65" s="1">
        <v>4</v>
      </c>
      <c r="AH65" s="1">
        <v>6</v>
      </c>
      <c r="AI65" s="1">
        <v>6</v>
      </c>
      <c r="AJ65" s="1">
        <v>6</v>
      </c>
      <c r="AL65" s="1">
        <f t="shared" si="3"/>
        <v>1</v>
      </c>
    </row>
    <row r="66" spans="1:38" ht="12.75">
      <c r="A66" s="1">
        <v>61</v>
      </c>
      <c r="B66" s="10" t="s">
        <v>279</v>
      </c>
      <c r="C66" s="191">
        <f>VLOOKUP(MID(B66,1,8)-0,'1.8.2022'!$B$9:$G$160,3,FALSE)</f>
        <v>2826.78</v>
      </c>
      <c r="D66" s="191">
        <f>VLOOKUP(MID(B66,1,8)-0,'1.8.2022'!$B$9:$G$160,5,FALSE)</f>
        <v>2800.06</v>
      </c>
      <c r="E66" s="11">
        <f>IF('muut muuttujat'!$G$3=1,C66,KÄYTTÖTAULU!$B$13)</f>
        <v>2826.78</v>
      </c>
      <c r="F66" s="11">
        <f>IF('muut muuttujat'!$G$3=1,D66,KÄYTTÖTAULU!$B$13)</f>
        <v>2800.06</v>
      </c>
      <c r="G66" s="11">
        <f>KÄYTTÖTAULU!$F$6</f>
        <v>0</v>
      </c>
      <c r="H66" s="11">
        <f>KÄYTTÖTAULU!$F$6</f>
        <v>0</v>
      </c>
      <c r="I66" s="11">
        <f t="shared" si="17"/>
        <v>0</v>
      </c>
      <c r="J66" s="11">
        <f t="shared" si="21"/>
        <v>0</v>
      </c>
      <c r="K66" s="1" t="e">
        <f>ROUND(I66/KÄYTTÖTAULU!$I$8,2)</f>
        <v>#DIV/0!</v>
      </c>
      <c r="L66" s="1" t="e">
        <f>ROUND(J66/KÄYTTÖTAULU!$I$8,2)</f>
        <v>#DIV/0!</v>
      </c>
      <c r="M66" s="1" t="e">
        <f t="shared" si="18"/>
        <v>#DIV/0!</v>
      </c>
      <c r="N66" s="1" t="e">
        <f t="shared" si="19"/>
        <v>#DIV/0!</v>
      </c>
      <c r="O66" s="11" t="e">
        <f>ROUND(ROUND(E66*0.83/KÄYTTÖTAULU!$I$8*12/38,2)*0.94,2)</f>
        <v>#DIV/0!</v>
      </c>
      <c r="P66" s="11" t="e">
        <f>ROUND(ROUND(F66*0.83/KÄYTTÖTAULU!$I$8*12/38,2)*0.94,2)</f>
        <v>#DIV/0!</v>
      </c>
      <c r="Q66" s="11"/>
      <c r="R66" s="24">
        <v>0</v>
      </c>
      <c r="S66" s="25">
        <v>4</v>
      </c>
      <c r="T66" s="25">
        <v>3</v>
      </c>
      <c r="U66" s="25">
        <v>6</v>
      </c>
      <c r="V66" s="25">
        <v>6</v>
      </c>
      <c r="W66" s="49">
        <v>6</v>
      </c>
      <c r="X66" s="25">
        <v>1</v>
      </c>
      <c r="Y66" s="25">
        <f t="shared" si="0"/>
        <v>1.04</v>
      </c>
      <c r="Z66" s="25">
        <f t="shared" si="1"/>
        <v>1.0712000000000002</v>
      </c>
      <c r="AA66" s="25">
        <f t="shared" si="2"/>
        <v>1.1354720000000003</v>
      </c>
      <c r="AB66" s="25">
        <f t="shared" si="20"/>
        <v>1.2036003200000003</v>
      </c>
      <c r="AC66" s="49">
        <f t="shared" si="4"/>
        <v>1.2758163392000004</v>
      </c>
      <c r="AE66" s="1">
        <v>0</v>
      </c>
      <c r="AF66" s="1">
        <v>4</v>
      </c>
      <c r="AG66" s="1">
        <v>4</v>
      </c>
      <c r="AH66" s="1">
        <v>6</v>
      </c>
      <c r="AI66" s="1">
        <v>6</v>
      </c>
      <c r="AJ66" s="1">
        <v>6</v>
      </c>
      <c r="AL66" s="1">
        <f t="shared" si="3"/>
        <v>1</v>
      </c>
    </row>
    <row r="67" spans="1:38" ht="12.75">
      <c r="A67" s="1">
        <v>62</v>
      </c>
      <c r="B67" s="10" t="s">
        <v>280</v>
      </c>
      <c r="C67" s="191">
        <f>VLOOKUP(MID(B67,1,8)-0,'1.8.2022'!$B$9:$G$160,3,FALSE)</f>
        <v>2720.83</v>
      </c>
      <c r="D67" s="191">
        <f>VLOOKUP(MID(B67,1,8)-0,'1.8.2022'!$B$9:$G$160,5,FALSE)</f>
        <v>2695.08</v>
      </c>
      <c r="E67" s="11">
        <f>IF('muut muuttujat'!$G$3=1,C67,KÄYTTÖTAULU!$B$13)</f>
        <v>2720.83</v>
      </c>
      <c r="F67" s="11">
        <f>IF('muut muuttujat'!$G$3=1,D67,KÄYTTÖTAULU!$B$13)</f>
        <v>2695.08</v>
      </c>
      <c r="G67" s="11">
        <f>KÄYTTÖTAULU!$F$6</f>
        <v>0</v>
      </c>
      <c r="H67" s="11">
        <f>KÄYTTÖTAULU!$F$6</f>
        <v>0</v>
      </c>
      <c r="I67" s="11">
        <f t="shared" si="17"/>
        <v>0</v>
      </c>
      <c r="J67" s="11">
        <f t="shared" si="21"/>
        <v>0</v>
      </c>
      <c r="K67" s="1" t="e">
        <f>ROUND(I67/KÄYTTÖTAULU!$I$8,2)</f>
        <v>#DIV/0!</v>
      </c>
      <c r="L67" s="1" t="e">
        <f>ROUND(J67/KÄYTTÖTAULU!$I$8,2)</f>
        <v>#DIV/0!</v>
      </c>
      <c r="M67" s="1" t="e">
        <f t="shared" si="18"/>
        <v>#DIV/0!</v>
      </c>
      <c r="N67" s="1" t="e">
        <f t="shared" si="19"/>
        <v>#DIV/0!</v>
      </c>
      <c r="O67" s="11" t="e">
        <f>ROUND(ROUND(E67*0.83/KÄYTTÖTAULU!$I$8*12/38,2)*0.94,2)</f>
        <v>#DIV/0!</v>
      </c>
      <c r="P67" s="11" t="e">
        <f>ROUND(ROUND(F67*0.83/KÄYTTÖTAULU!$I$8*12/38,2)*0.94,2)</f>
        <v>#DIV/0!</v>
      </c>
      <c r="Q67" s="11"/>
      <c r="R67" s="24">
        <v>0</v>
      </c>
      <c r="S67" s="25">
        <v>4</v>
      </c>
      <c r="T67" s="25">
        <v>3</v>
      </c>
      <c r="U67" s="25">
        <v>6</v>
      </c>
      <c r="V67" s="25">
        <v>6</v>
      </c>
      <c r="W67" s="49">
        <v>6</v>
      </c>
      <c r="X67" s="25">
        <v>1</v>
      </c>
      <c r="Y67" s="25">
        <f t="shared" si="0"/>
        <v>1.04</v>
      </c>
      <c r="Z67" s="25">
        <f t="shared" si="1"/>
        <v>1.0712000000000002</v>
      </c>
      <c r="AA67" s="25">
        <f t="shared" si="2"/>
        <v>1.1354720000000003</v>
      </c>
      <c r="AB67" s="25">
        <f t="shared" si="20"/>
        <v>1.2036003200000003</v>
      </c>
      <c r="AC67" s="49">
        <f t="shared" si="4"/>
        <v>1.2758163392000004</v>
      </c>
      <c r="AE67" s="1">
        <v>0</v>
      </c>
      <c r="AF67" s="1">
        <v>4</v>
      </c>
      <c r="AG67" s="1">
        <v>4</v>
      </c>
      <c r="AH67" s="1">
        <v>6</v>
      </c>
      <c r="AI67" s="1">
        <v>6</v>
      </c>
      <c r="AJ67" s="1">
        <v>6</v>
      </c>
      <c r="AL67" s="1">
        <f t="shared" si="3"/>
        <v>1</v>
      </c>
    </row>
    <row r="68" spans="1:38" ht="12.75">
      <c r="A68" s="1">
        <v>63</v>
      </c>
      <c r="B68" s="10" t="s">
        <v>501</v>
      </c>
      <c r="C68" s="191">
        <f>VLOOKUP(MID(B68,1,8)-0,'1.8.2022'!$B$9:$G$160,3,FALSE)</f>
        <v>2222.24</v>
      </c>
      <c r="D68" s="191">
        <f>VLOOKUP(MID(B68,1,8)-0,'1.8.2022'!$B$9:$G$160,5,FALSE)</f>
        <v>2201.84</v>
      </c>
      <c r="E68" s="11">
        <f>IF('muut muuttujat'!$G$3=1,C68,KÄYTTÖTAULU!$B$13)</f>
        <v>2222.24</v>
      </c>
      <c r="F68" s="11">
        <f>IF('muut muuttujat'!$G$3=1,D68,KÄYTTÖTAULU!$B$13)</f>
        <v>2201.84</v>
      </c>
      <c r="G68" s="11">
        <f>KÄYTTÖTAULU!$F$6</f>
        <v>0</v>
      </c>
      <c r="H68" s="11">
        <f>KÄYTTÖTAULU!$F$6</f>
        <v>0</v>
      </c>
      <c r="I68" s="11">
        <f t="shared" si="17"/>
        <v>0</v>
      </c>
      <c r="J68" s="11">
        <f t="shared" si="21"/>
        <v>0</v>
      </c>
      <c r="K68" s="1" t="e">
        <f>ROUND(I68/KÄYTTÖTAULU!$I$8,2)</f>
        <v>#DIV/0!</v>
      </c>
      <c r="L68" s="1" t="e">
        <f>ROUND(J68/KÄYTTÖTAULU!$I$8,2)</f>
        <v>#DIV/0!</v>
      </c>
      <c r="M68" s="1" t="e">
        <f t="shared" si="18"/>
        <v>#DIV/0!</v>
      </c>
      <c r="N68" s="1" t="e">
        <f t="shared" si="19"/>
        <v>#DIV/0!</v>
      </c>
      <c r="O68" s="11" t="e">
        <f>ROUND(ROUND(E68*0.83/KÄYTTÖTAULU!$I$8*12/38,2)*0.94,2)</f>
        <v>#DIV/0!</v>
      </c>
      <c r="P68" s="11" t="e">
        <f>ROUND(ROUND(F68*0.83/KÄYTTÖTAULU!$I$8*12/38,2)*0.94,2)</f>
        <v>#DIV/0!</v>
      </c>
      <c r="Q68" s="11"/>
      <c r="R68" s="24">
        <v>0</v>
      </c>
      <c r="S68" s="25">
        <v>4</v>
      </c>
      <c r="T68" s="25">
        <v>3</v>
      </c>
      <c r="U68" s="25">
        <v>6</v>
      </c>
      <c r="V68" s="25">
        <v>6</v>
      </c>
      <c r="W68" s="49">
        <v>6</v>
      </c>
      <c r="X68" s="25">
        <v>1</v>
      </c>
      <c r="Y68" s="25">
        <f t="shared" si="0"/>
        <v>1.04</v>
      </c>
      <c r="Z68" s="25">
        <f t="shared" si="1"/>
        <v>1.0712000000000002</v>
      </c>
      <c r="AA68" s="25">
        <f t="shared" si="2"/>
        <v>1.1354720000000003</v>
      </c>
      <c r="AB68" s="25">
        <f t="shared" si="20"/>
        <v>1.2036003200000003</v>
      </c>
      <c r="AC68" s="49">
        <f t="shared" si="4"/>
        <v>1.2758163392000004</v>
      </c>
      <c r="AE68" s="1">
        <v>0</v>
      </c>
      <c r="AF68" s="1">
        <v>4</v>
      </c>
      <c r="AG68" s="1">
        <v>4</v>
      </c>
      <c r="AH68" s="1">
        <v>6</v>
      </c>
      <c r="AI68" s="1">
        <v>6</v>
      </c>
      <c r="AJ68" s="1">
        <v>6</v>
      </c>
      <c r="AL68" s="1">
        <f t="shared" si="3"/>
        <v>1</v>
      </c>
    </row>
    <row r="69" spans="1:38" ht="12.75">
      <c r="A69" s="1">
        <v>64</v>
      </c>
      <c r="B69" s="10" t="s">
        <v>281</v>
      </c>
      <c r="C69" s="191">
        <f>VLOOKUP(MID(B69,1,8)-0,'1.8.2022'!$B$9:$G$160,3,FALSE)</f>
        <v>2121.45</v>
      </c>
      <c r="D69" s="191">
        <f>VLOOKUP(MID(B69,1,8)-0,'1.8.2022'!$B$9:$G$160,5,FALSE)</f>
        <v>2102.79</v>
      </c>
      <c r="E69" s="11">
        <f>IF('muut muuttujat'!$G$3=1,C69,KÄYTTÖTAULU!$B$13)</f>
        <v>2121.45</v>
      </c>
      <c r="F69" s="11">
        <f>IF('muut muuttujat'!$G$3=1,D69,KÄYTTÖTAULU!$B$13)</f>
        <v>2102.79</v>
      </c>
      <c r="G69" s="11">
        <f>KÄYTTÖTAULU!$F$6</f>
        <v>0</v>
      </c>
      <c r="H69" s="11">
        <f>KÄYTTÖTAULU!$F$6</f>
        <v>0</v>
      </c>
      <c r="I69" s="11">
        <f t="shared" si="17"/>
        <v>0</v>
      </c>
      <c r="J69" s="11">
        <f t="shared" si="21"/>
        <v>0</v>
      </c>
      <c r="K69" s="1" t="e">
        <f>ROUND(I69/KÄYTTÖTAULU!$I$8,2)</f>
        <v>#DIV/0!</v>
      </c>
      <c r="L69" s="1" t="e">
        <f>ROUND(J69/KÄYTTÖTAULU!$I$8,2)</f>
        <v>#DIV/0!</v>
      </c>
      <c r="M69" s="1" t="e">
        <f t="shared" si="18"/>
        <v>#DIV/0!</v>
      </c>
      <c r="N69" s="1" t="e">
        <f t="shared" si="19"/>
        <v>#DIV/0!</v>
      </c>
      <c r="O69" s="11" t="e">
        <f>ROUND(ROUND(E69*0.83/KÄYTTÖTAULU!$I$8*12/38,2)*0.94,2)</f>
        <v>#DIV/0!</v>
      </c>
      <c r="P69" s="11" t="e">
        <f>ROUND(ROUND(F69*0.83/KÄYTTÖTAULU!$I$8*12/38,2)*0.94,2)</f>
        <v>#DIV/0!</v>
      </c>
      <c r="Q69" s="11"/>
      <c r="R69" s="24">
        <v>0</v>
      </c>
      <c r="S69" s="25">
        <v>4</v>
      </c>
      <c r="T69" s="25">
        <v>3</v>
      </c>
      <c r="U69" s="25">
        <v>6</v>
      </c>
      <c r="V69" s="25">
        <v>6</v>
      </c>
      <c r="W69" s="49">
        <v>6</v>
      </c>
      <c r="X69" s="25">
        <v>1</v>
      </c>
      <c r="Y69" s="25">
        <f t="shared" si="0"/>
        <v>1.04</v>
      </c>
      <c r="Z69" s="25">
        <f t="shared" si="1"/>
        <v>1.0712000000000002</v>
      </c>
      <c r="AA69" s="25">
        <f t="shared" si="2"/>
        <v>1.1354720000000003</v>
      </c>
      <c r="AB69" s="25">
        <f t="shared" si="20"/>
        <v>1.2036003200000003</v>
      </c>
      <c r="AC69" s="49">
        <f t="shared" si="4"/>
        <v>1.2758163392000004</v>
      </c>
      <c r="AE69" s="1">
        <v>0</v>
      </c>
      <c r="AF69" s="1">
        <v>4</v>
      </c>
      <c r="AG69" s="1">
        <v>4</v>
      </c>
      <c r="AH69" s="1">
        <v>6</v>
      </c>
      <c r="AI69" s="1">
        <v>6</v>
      </c>
      <c r="AJ69" s="1">
        <v>6</v>
      </c>
      <c r="AL69" s="1">
        <f t="shared" si="3"/>
        <v>1</v>
      </c>
    </row>
    <row r="70" spans="1:38" ht="12.75">
      <c r="A70" s="1">
        <v>65</v>
      </c>
      <c r="B70" s="10" t="s">
        <v>282</v>
      </c>
      <c r="C70" s="191">
        <f>VLOOKUP(MID(B70,1,8)-0,'1.8.2022'!$B$9:$G$160,3,FALSE)</f>
        <v>2439.23</v>
      </c>
      <c r="D70" s="191">
        <f>VLOOKUP(MID(B70,1,8)-0,'1.8.2022'!$B$9:$G$160,5,FALSE)</f>
        <v>2416.15</v>
      </c>
      <c r="E70" s="11">
        <f>IF('muut muuttujat'!$G$3=1,C70,KÄYTTÖTAULU!$B$13)</f>
        <v>2439.23</v>
      </c>
      <c r="F70" s="11">
        <f>IF('muut muuttujat'!$G$3=1,D70,KÄYTTÖTAULU!$B$13)</f>
        <v>2416.15</v>
      </c>
      <c r="G70" s="11">
        <f>KÄYTTÖTAULU!$F$6</f>
        <v>0</v>
      </c>
      <c r="H70" s="11">
        <f>KÄYTTÖTAULU!$F$6</f>
        <v>0</v>
      </c>
      <c r="I70" s="11">
        <f t="shared" si="17"/>
        <v>0</v>
      </c>
      <c r="J70" s="11">
        <f t="shared" si="21"/>
        <v>0</v>
      </c>
      <c r="K70" s="1" t="e">
        <f>ROUND(I70/KÄYTTÖTAULU!$I$8,2)</f>
        <v>#DIV/0!</v>
      </c>
      <c r="L70" s="1" t="e">
        <f>ROUND(J70/KÄYTTÖTAULU!$I$8,2)</f>
        <v>#DIV/0!</v>
      </c>
      <c r="M70" s="1" t="e">
        <f t="shared" si="18"/>
        <v>#DIV/0!</v>
      </c>
      <c r="N70" s="1" t="e">
        <f t="shared" si="19"/>
        <v>#DIV/0!</v>
      </c>
      <c r="O70" s="11" t="e">
        <f>ROUND(ROUND(E70*0.83/KÄYTTÖTAULU!$I$8*12/38,2)*0.94,2)</f>
        <v>#DIV/0!</v>
      </c>
      <c r="P70" s="11" t="e">
        <f>ROUND(ROUND(F70*0.83/KÄYTTÖTAULU!$I$8*12/38,2)*0.94,2)</f>
        <v>#DIV/0!</v>
      </c>
      <c r="Q70" s="11"/>
      <c r="R70" s="24">
        <v>0</v>
      </c>
      <c r="S70" s="25">
        <v>6</v>
      </c>
      <c r="T70" s="25">
        <v>2</v>
      </c>
      <c r="U70" s="25">
        <v>9</v>
      </c>
      <c r="V70" s="25">
        <v>6</v>
      </c>
      <c r="W70" s="49">
        <v>6</v>
      </c>
      <c r="X70" s="25">
        <v>1</v>
      </c>
      <c r="Y70" s="25">
        <f t="shared" si="0"/>
        <v>1.06</v>
      </c>
      <c r="Z70" s="25">
        <f t="shared" si="1"/>
        <v>1.0812000000000002</v>
      </c>
      <c r="AA70" s="25">
        <f t="shared" si="2"/>
        <v>1.1785080000000003</v>
      </c>
      <c r="AB70" s="25">
        <f t="shared" si="20"/>
        <v>1.2492184800000004</v>
      </c>
      <c r="AC70" s="49">
        <f t="shared" si="4"/>
        <v>1.3241715888000005</v>
      </c>
      <c r="AE70" s="1">
        <v>0</v>
      </c>
      <c r="AF70" s="1">
        <v>6</v>
      </c>
      <c r="AG70" s="1">
        <v>3</v>
      </c>
      <c r="AH70" s="1">
        <v>9</v>
      </c>
      <c r="AI70" s="1">
        <v>6</v>
      </c>
      <c r="AJ70" s="1">
        <v>6</v>
      </c>
      <c r="AL70" s="1">
        <f t="shared" si="3"/>
        <v>1</v>
      </c>
    </row>
    <row r="71" spans="1:38" ht="12.75">
      <c r="A71" s="1">
        <v>66</v>
      </c>
      <c r="B71" s="10" t="s">
        <v>500</v>
      </c>
      <c r="C71" s="191">
        <f>VLOOKUP(MID(B71,1,8)-0,'1.8.2022'!$B$9:$G$160,3,FALSE)</f>
        <v>2439.23</v>
      </c>
      <c r="D71" s="191">
        <f>VLOOKUP(MID(B71,1,8)-0,'1.8.2022'!$B$9:$G$160,5,FALSE)</f>
        <v>2416.15</v>
      </c>
      <c r="E71" s="11">
        <f>IF('muut muuttujat'!$G$3=1,C71,KÄYTTÖTAULU!$B$13)</f>
        <v>2439.23</v>
      </c>
      <c r="F71" s="11">
        <f>IF('muut muuttujat'!$G$3=1,D71,KÄYTTÖTAULU!$B$13)</f>
        <v>2416.15</v>
      </c>
      <c r="G71" s="11">
        <f>KÄYTTÖTAULU!$F$6</f>
        <v>0</v>
      </c>
      <c r="H71" s="11">
        <f>KÄYTTÖTAULU!$F$6</f>
        <v>0</v>
      </c>
      <c r="I71" s="11">
        <f t="shared" si="17"/>
        <v>0</v>
      </c>
      <c r="J71" s="11">
        <f t="shared" si="21"/>
        <v>0</v>
      </c>
      <c r="K71" s="1" t="e">
        <f>ROUND(I71/KÄYTTÖTAULU!$I$8,2)</f>
        <v>#DIV/0!</v>
      </c>
      <c r="L71" s="1" t="e">
        <f>ROUND(J71/KÄYTTÖTAULU!$I$8,2)</f>
        <v>#DIV/0!</v>
      </c>
      <c r="M71" s="1" t="e">
        <f t="shared" si="18"/>
        <v>#DIV/0!</v>
      </c>
      <c r="N71" s="1" t="e">
        <f t="shared" si="19"/>
        <v>#DIV/0!</v>
      </c>
      <c r="O71" s="11" t="e">
        <f>ROUND(ROUND(E71*0.83/KÄYTTÖTAULU!$I$8*12/38,2)*0.94,2)</f>
        <v>#DIV/0!</v>
      </c>
      <c r="P71" s="11" t="e">
        <f>ROUND(ROUND(F71*0.83/KÄYTTÖTAULU!$I$8*12/38,2)*0.94,2)</f>
        <v>#DIV/0!</v>
      </c>
      <c r="Q71" s="11"/>
      <c r="R71" s="24">
        <v>0</v>
      </c>
      <c r="S71" s="25">
        <v>6</v>
      </c>
      <c r="T71" s="25">
        <v>2</v>
      </c>
      <c r="U71" s="25">
        <v>9</v>
      </c>
      <c r="V71" s="25">
        <v>6</v>
      </c>
      <c r="W71" s="49">
        <v>6</v>
      </c>
      <c r="X71" s="25">
        <v>1</v>
      </c>
      <c r="Y71" s="25">
        <f t="shared" si="0"/>
        <v>1.06</v>
      </c>
      <c r="Z71" s="25">
        <f t="shared" si="1"/>
        <v>1.0812000000000002</v>
      </c>
      <c r="AA71" s="25">
        <f t="shared" si="2"/>
        <v>1.1785080000000003</v>
      </c>
      <c r="AB71" s="25">
        <f t="shared" si="20"/>
        <v>1.2492184800000004</v>
      </c>
      <c r="AC71" s="49">
        <f t="shared" si="4"/>
        <v>1.3241715888000005</v>
      </c>
      <c r="AE71" s="1">
        <v>0</v>
      </c>
      <c r="AF71" s="1">
        <v>6</v>
      </c>
      <c r="AG71" s="1">
        <v>3</v>
      </c>
      <c r="AH71" s="1">
        <v>9</v>
      </c>
      <c r="AI71" s="1">
        <v>6</v>
      </c>
      <c r="AJ71" s="1">
        <v>6</v>
      </c>
      <c r="AL71" s="1">
        <f t="shared" si="3"/>
        <v>1</v>
      </c>
    </row>
    <row r="72" spans="1:38" ht="12.75">
      <c r="A72" s="1">
        <v>67</v>
      </c>
      <c r="B72" s="10" t="s">
        <v>283</v>
      </c>
      <c r="C72" s="191">
        <f>VLOOKUP(MID(B72,1,8)-0,'1.8.2022'!$B$9:$G$160,3,FALSE)</f>
        <v>2388.48</v>
      </c>
      <c r="D72" s="191">
        <f>VLOOKUP(MID(B72,1,8)-0,'1.8.2022'!$B$9:$G$160,5,FALSE)</f>
        <v>2365.85</v>
      </c>
      <c r="E72" s="11">
        <f>IF('muut muuttujat'!$G$3=1,C72,KÄYTTÖTAULU!$B$13)</f>
        <v>2388.48</v>
      </c>
      <c r="F72" s="11">
        <f>IF('muut muuttujat'!$G$3=1,D72,KÄYTTÖTAULU!$B$13)</f>
        <v>2365.85</v>
      </c>
      <c r="G72" s="11">
        <f>KÄYTTÖTAULU!$F$6</f>
        <v>0</v>
      </c>
      <c r="H72" s="11">
        <f>KÄYTTÖTAULU!$F$6</f>
        <v>0</v>
      </c>
      <c r="I72" s="11">
        <f t="shared" si="17"/>
        <v>0</v>
      </c>
      <c r="J72" s="11">
        <f t="shared" si="21"/>
        <v>0</v>
      </c>
      <c r="K72" s="1" t="e">
        <f>ROUND(I72/KÄYTTÖTAULU!$I$8,2)</f>
        <v>#DIV/0!</v>
      </c>
      <c r="L72" s="1" t="e">
        <f>ROUND(J72/KÄYTTÖTAULU!$I$8,2)</f>
        <v>#DIV/0!</v>
      </c>
      <c r="M72" s="1" t="e">
        <f t="shared" si="18"/>
        <v>#DIV/0!</v>
      </c>
      <c r="N72" s="1" t="e">
        <f t="shared" si="19"/>
        <v>#DIV/0!</v>
      </c>
      <c r="O72" s="11" t="e">
        <f>ROUND(ROUND(E72*0.83/KÄYTTÖTAULU!$I$8*12/38,2)*0.94,2)</f>
        <v>#DIV/0!</v>
      </c>
      <c r="P72" s="11" t="e">
        <f>ROUND(ROUND(F72*0.83/KÄYTTÖTAULU!$I$8*12/38,2)*0.94,2)</f>
        <v>#DIV/0!</v>
      </c>
      <c r="Q72" s="11"/>
      <c r="R72" s="24">
        <v>0</v>
      </c>
      <c r="S72" s="25">
        <v>6</v>
      </c>
      <c r="T72" s="25">
        <v>2</v>
      </c>
      <c r="U72" s="25">
        <v>9</v>
      </c>
      <c r="V72" s="25">
        <v>6</v>
      </c>
      <c r="W72" s="49">
        <v>6</v>
      </c>
      <c r="X72" s="25">
        <v>1</v>
      </c>
      <c r="Y72" s="25">
        <f t="shared" si="0"/>
        <v>1.06</v>
      </c>
      <c r="Z72" s="25">
        <f t="shared" si="1"/>
        <v>1.0812000000000002</v>
      </c>
      <c r="AA72" s="25">
        <f t="shared" si="2"/>
        <v>1.1785080000000003</v>
      </c>
      <c r="AB72" s="25">
        <f t="shared" si="20"/>
        <v>1.2492184800000004</v>
      </c>
      <c r="AC72" s="49">
        <f t="shared" si="4"/>
        <v>1.3241715888000005</v>
      </c>
      <c r="AE72" s="1">
        <v>0</v>
      </c>
      <c r="AF72" s="1">
        <v>6</v>
      </c>
      <c r="AG72" s="1">
        <v>3</v>
      </c>
      <c r="AH72" s="1">
        <v>9</v>
      </c>
      <c r="AI72" s="1">
        <v>6</v>
      </c>
      <c r="AJ72" s="1">
        <v>6</v>
      </c>
      <c r="AL72" s="1">
        <f t="shared" si="3"/>
        <v>1</v>
      </c>
    </row>
    <row r="73" spans="1:38" ht="12.75">
      <c r="A73" s="1">
        <v>68</v>
      </c>
      <c r="B73" s="10" t="s">
        <v>284</v>
      </c>
      <c r="C73" s="191">
        <f>VLOOKUP(MID(B73,1,8)-0,'1.8.2022'!$B$9:$G$160,3,FALSE)</f>
        <v>2058.71</v>
      </c>
      <c r="D73" s="191">
        <f>VLOOKUP(MID(B73,1,8)-0,'1.8.2022'!$B$9:$G$160,5,FALSE)</f>
        <v>2041.84</v>
      </c>
      <c r="E73" s="11">
        <f>IF('muut muuttujat'!$G$3=1,C73,KÄYTTÖTAULU!$B$13)</f>
        <v>2058.71</v>
      </c>
      <c r="F73" s="11">
        <f>IF('muut muuttujat'!$G$3=1,D73,KÄYTTÖTAULU!$B$13)</f>
        <v>2041.84</v>
      </c>
      <c r="G73" s="11">
        <f>KÄYTTÖTAULU!$F$6</f>
        <v>0</v>
      </c>
      <c r="H73" s="11">
        <f>KÄYTTÖTAULU!$F$6</f>
        <v>0</v>
      </c>
      <c r="I73" s="11">
        <f t="shared" si="17"/>
        <v>0</v>
      </c>
      <c r="J73" s="11">
        <f t="shared" si="21"/>
        <v>0</v>
      </c>
      <c r="K73" s="1" t="e">
        <f>ROUND(I73/KÄYTTÖTAULU!$I$8,2)</f>
        <v>#DIV/0!</v>
      </c>
      <c r="L73" s="1" t="e">
        <f>ROUND(J73/KÄYTTÖTAULU!$I$8,2)</f>
        <v>#DIV/0!</v>
      </c>
      <c r="M73" s="1" t="e">
        <f t="shared" si="18"/>
        <v>#DIV/0!</v>
      </c>
      <c r="N73" s="1" t="e">
        <f t="shared" si="19"/>
        <v>#DIV/0!</v>
      </c>
      <c r="O73" s="11" t="e">
        <f>ROUND(ROUND(E73*0.83/KÄYTTÖTAULU!$I$8*12/38,2)*0.94,2)</f>
        <v>#DIV/0!</v>
      </c>
      <c r="P73" s="11" t="e">
        <f>ROUND(ROUND(F73*0.83/KÄYTTÖTAULU!$I$8*12/38,2)*0.94,2)</f>
        <v>#DIV/0!</v>
      </c>
      <c r="Q73" s="11"/>
      <c r="R73" s="24">
        <v>0</v>
      </c>
      <c r="S73" s="25">
        <v>6</v>
      </c>
      <c r="T73" s="25">
        <v>2</v>
      </c>
      <c r="U73" s="25">
        <v>9</v>
      </c>
      <c r="V73" s="25">
        <v>6</v>
      </c>
      <c r="W73" s="49">
        <v>6</v>
      </c>
      <c r="X73" s="25">
        <v>1</v>
      </c>
      <c r="Y73" s="25">
        <f t="shared" si="0"/>
        <v>1.06</v>
      </c>
      <c r="Z73" s="25">
        <f t="shared" si="1"/>
        <v>1.0812000000000002</v>
      </c>
      <c r="AA73" s="25">
        <f t="shared" si="2"/>
        <v>1.1785080000000003</v>
      </c>
      <c r="AB73" s="25">
        <f t="shared" si="20"/>
        <v>1.2492184800000004</v>
      </c>
      <c r="AC73" s="49">
        <f t="shared" si="4"/>
        <v>1.3241715888000005</v>
      </c>
      <c r="AE73" s="1">
        <v>0</v>
      </c>
      <c r="AF73" s="1">
        <v>6</v>
      </c>
      <c r="AG73" s="1">
        <v>3</v>
      </c>
      <c r="AH73" s="1">
        <v>9</v>
      </c>
      <c r="AI73" s="1">
        <v>6</v>
      </c>
      <c r="AJ73" s="1">
        <v>6</v>
      </c>
      <c r="AL73" s="1">
        <f t="shared" si="3"/>
        <v>1</v>
      </c>
    </row>
    <row r="74" spans="1:38" ht="12.75">
      <c r="A74" s="1">
        <v>69</v>
      </c>
      <c r="B74" s="10" t="s">
        <v>285</v>
      </c>
      <c r="C74" s="191">
        <f>VLOOKUP(MID(B74,1,8)-0,'1.8.2022'!$B$9:$G$160,3,FALSE)</f>
        <v>3188.3</v>
      </c>
      <c r="D74" s="191">
        <f>VLOOKUP(MID(B74,1,8)-0,'1.8.2022'!$B$9:$G$160,5,FALSE)</f>
        <v>3158.19</v>
      </c>
      <c r="E74" s="11">
        <f>IF('muut muuttujat'!$G$3=1,C74,KÄYTTÖTAULU!$B$13)</f>
        <v>3188.3</v>
      </c>
      <c r="F74" s="11">
        <f>IF('muut muuttujat'!$G$3=1,D74,KÄYTTÖTAULU!$B$13)</f>
        <v>3158.19</v>
      </c>
      <c r="G74" s="11">
        <f>KÄYTTÖTAULU!$F$6</f>
        <v>0</v>
      </c>
      <c r="H74" s="11">
        <f>KÄYTTÖTAULU!$F$6</f>
        <v>0</v>
      </c>
      <c r="I74" s="11">
        <f t="shared" si="17"/>
        <v>0</v>
      </c>
      <c r="J74" s="11">
        <f t="shared" si="21"/>
        <v>0</v>
      </c>
      <c r="K74" s="1" t="e">
        <f>ROUND(I74/KÄYTTÖTAULU!$I$8,2)</f>
        <v>#DIV/0!</v>
      </c>
      <c r="L74" s="1" t="e">
        <f>ROUND(J74/KÄYTTÖTAULU!$I$8,2)</f>
        <v>#DIV/0!</v>
      </c>
      <c r="M74" s="1" t="e">
        <f t="shared" si="18"/>
        <v>#DIV/0!</v>
      </c>
      <c r="N74" s="1" t="e">
        <f t="shared" si="19"/>
        <v>#DIV/0!</v>
      </c>
      <c r="O74" s="11"/>
      <c r="P74" s="11"/>
      <c r="Q74" s="11"/>
      <c r="R74" s="24">
        <v>0</v>
      </c>
      <c r="S74" s="25">
        <v>6</v>
      </c>
      <c r="T74" s="25">
        <v>2</v>
      </c>
      <c r="U74" s="25">
        <v>10</v>
      </c>
      <c r="V74" s="25">
        <v>4</v>
      </c>
      <c r="W74" s="49">
        <v>6</v>
      </c>
      <c r="X74" s="25">
        <v>1</v>
      </c>
      <c r="Y74" s="25">
        <f t="shared" si="0"/>
        <v>1.06</v>
      </c>
      <c r="Z74" s="25">
        <f t="shared" si="1"/>
        <v>1.0812000000000002</v>
      </c>
      <c r="AA74" s="25">
        <f t="shared" si="2"/>
        <v>1.1893200000000004</v>
      </c>
      <c r="AB74" s="25">
        <f t="shared" si="20"/>
        <v>1.2368928000000003</v>
      </c>
      <c r="AC74" s="49">
        <f t="shared" si="4"/>
        <v>1.3111063680000004</v>
      </c>
      <c r="AE74" s="1">
        <v>0</v>
      </c>
      <c r="AF74" s="1">
        <v>6</v>
      </c>
      <c r="AG74" s="1">
        <v>2</v>
      </c>
      <c r="AH74" s="1">
        <v>10</v>
      </c>
      <c r="AI74" s="1">
        <v>4</v>
      </c>
      <c r="AJ74" s="1">
        <v>6</v>
      </c>
      <c r="AL74" s="1">
        <f t="shared" si="3"/>
        <v>0</v>
      </c>
    </row>
    <row r="75" spans="1:38" ht="12.75">
      <c r="A75" s="1">
        <v>70</v>
      </c>
      <c r="B75" s="10" t="s">
        <v>286</v>
      </c>
      <c r="C75" s="191">
        <f>VLOOKUP(MID(B75,1,8)-0,'1.8.2022'!$B$9:$G$160,3,FALSE)</f>
        <v>3042.83</v>
      </c>
      <c r="D75" s="191">
        <f>VLOOKUP(MID(B75,1,8)-0,'1.8.2022'!$B$9:$G$160,5,FALSE)</f>
        <v>3014</v>
      </c>
      <c r="E75" s="11">
        <f>IF('muut muuttujat'!$G$3=1,C75,KÄYTTÖTAULU!$B$13)</f>
        <v>3042.83</v>
      </c>
      <c r="F75" s="11">
        <f>IF('muut muuttujat'!$G$3=1,D75,KÄYTTÖTAULU!$B$13)</f>
        <v>3014</v>
      </c>
      <c r="G75" s="11">
        <f>KÄYTTÖTAULU!$F$6</f>
        <v>0</v>
      </c>
      <c r="H75" s="11">
        <f>KÄYTTÖTAULU!$F$6</f>
        <v>0</v>
      </c>
      <c r="I75" s="11">
        <f t="shared" si="17"/>
        <v>0</v>
      </c>
      <c r="J75" s="11">
        <f t="shared" si="21"/>
        <v>0</v>
      </c>
      <c r="K75" s="1" t="e">
        <f>ROUND(I75/KÄYTTÖTAULU!$I$8,2)</f>
        <v>#DIV/0!</v>
      </c>
      <c r="L75" s="1" t="e">
        <f>ROUND(J75/KÄYTTÖTAULU!$I$8,2)</f>
        <v>#DIV/0!</v>
      </c>
      <c r="M75" s="1" t="e">
        <f t="shared" si="18"/>
        <v>#DIV/0!</v>
      </c>
      <c r="N75" s="1" t="e">
        <f t="shared" si="19"/>
        <v>#DIV/0!</v>
      </c>
      <c r="O75" s="11"/>
      <c r="P75" s="11"/>
      <c r="Q75" s="11"/>
      <c r="R75" s="24">
        <v>0</v>
      </c>
      <c r="S75" s="25">
        <v>6</v>
      </c>
      <c r="T75" s="25">
        <v>2</v>
      </c>
      <c r="U75" s="25">
        <v>10</v>
      </c>
      <c r="V75" s="25">
        <v>4</v>
      </c>
      <c r="W75" s="49">
        <v>6</v>
      </c>
      <c r="X75" s="25">
        <v>1</v>
      </c>
      <c r="Y75" s="25">
        <f t="shared" si="0"/>
        <v>1.06</v>
      </c>
      <c r="Z75" s="25">
        <f t="shared" si="1"/>
        <v>1.0812000000000002</v>
      </c>
      <c r="AA75" s="25">
        <f t="shared" si="2"/>
        <v>1.1893200000000004</v>
      </c>
      <c r="AB75" s="25">
        <f t="shared" si="20"/>
        <v>1.2368928000000003</v>
      </c>
      <c r="AC75" s="49">
        <f t="shared" si="4"/>
        <v>1.3111063680000004</v>
      </c>
      <c r="AE75" s="1">
        <v>0</v>
      </c>
      <c r="AF75" s="1">
        <v>6</v>
      </c>
      <c r="AG75" s="1">
        <v>2</v>
      </c>
      <c r="AH75" s="1">
        <v>10</v>
      </c>
      <c r="AI75" s="1">
        <v>4</v>
      </c>
      <c r="AJ75" s="1">
        <v>6</v>
      </c>
      <c r="AL75" s="1">
        <f t="shared" si="3"/>
        <v>0</v>
      </c>
    </row>
    <row r="76" spans="1:38" ht="12.75">
      <c r="A76" s="1">
        <v>71</v>
      </c>
      <c r="B76" s="10" t="s">
        <v>287</v>
      </c>
      <c r="C76" s="191">
        <f>VLOOKUP(MID(B76,1,8)-0,'1.8.2022'!$B$9:$G$160,3,FALSE)</f>
        <v>2568</v>
      </c>
      <c r="D76" s="191">
        <f>VLOOKUP(MID(B76,1,8)-0,'1.8.2022'!$B$9:$G$160,5,FALSE)</f>
        <v>2543.75</v>
      </c>
      <c r="E76" s="11">
        <f>IF('muut muuttujat'!$G$3=1,C76,KÄYTTÖTAULU!$B$13)</f>
        <v>2568</v>
      </c>
      <c r="F76" s="11">
        <f>IF('muut muuttujat'!$G$3=1,D76,KÄYTTÖTAULU!$B$13)</f>
        <v>2543.75</v>
      </c>
      <c r="G76" s="11">
        <f>KÄYTTÖTAULU!$F$6</f>
        <v>0</v>
      </c>
      <c r="H76" s="11">
        <f>KÄYTTÖTAULU!$F$6</f>
        <v>0</v>
      </c>
      <c r="I76" s="11">
        <f t="shared" si="17"/>
        <v>0</v>
      </c>
      <c r="J76" s="11">
        <f t="shared" si="21"/>
        <v>0</v>
      </c>
      <c r="K76" s="1" t="e">
        <f>ROUND(I76/KÄYTTÖTAULU!$I$8,2)</f>
        <v>#DIV/0!</v>
      </c>
      <c r="L76" s="1" t="e">
        <f>ROUND(J76/KÄYTTÖTAULU!$I$8,2)</f>
        <v>#DIV/0!</v>
      </c>
      <c r="M76" s="1" t="e">
        <f t="shared" si="18"/>
        <v>#DIV/0!</v>
      </c>
      <c r="N76" s="1" t="e">
        <f t="shared" si="19"/>
        <v>#DIV/0!</v>
      </c>
      <c r="O76" s="11"/>
      <c r="P76" s="11"/>
      <c r="Q76" s="11"/>
      <c r="R76" s="24">
        <v>0</v>
      </c>
      <c r="S76" s="25">
        <v>6</v>
      </c>
      <c r="T76" s="25">
        <v>2</v>
      </c>
      <c r="U76" s="25">
        <v>10</v>
      </c>
      <c r="V76" s="25">
        <v>4</v>
      </c>
      <c r="W76" s="49">
        <v>6</v>
      </c>
      <c r="X76" s="25">
        <v>1</v>
      </c>
      <c r="Y76" s="25">
        <f t="shared" si="0"/>
        <v>1.06</v>
      </c>
      <c r="Z76" s="25">
        <f t="shared" si="1"/>
        <v>1.0812000000000002</v>
      </c>
      <c r="AA76" s="25">
        <f t="shared" si="2"/>
        <v>1.1893200000000004</v>
      </c>
      <c r="AB76" s="25">
        <f t="shared" si="20"/>
        <v>1.2368928000000003</v>
      </c>
      <c r="AC76" s="49">
        <f t="shared" si="4"/>
        <v>1.3111063680000004</v>
      </c>
      <c r="AE76" s="1">
        <v>0</v>
      </c>
      <c r="AF76" s="1">
        <v>6</v>
      </c>
      <c r="AG76" s="1">
        <v>2</v>
      </c>
      <c r="AH76" s="1">
        <v>10</v>
      </c>
      <c r="AI76" s="1">
        <v>4</v>
      </c>
      <c r="AJ76" s="1">
        <v>6</v>
      </c>
      <c r="AL76" s="1">
        <f aca="true" t="shared" si="22" ref="AL76:AL120">AG76-T76</f>
        <v>0</v>
      </c>
    </row>
    <row r="77" spans="1:38" ht="12.75">
      <c r="A77" s="1">
        <v>72</v>
      </c>
      <c r="B77" s="10" t="s">
        <v>288</v>
      </c>
      <c r="C77" s="191">
        <f>VLOOKUP(MID(B77,1,8)-0,'1.8.2022'!$B$9:$G$160,3,FALSE)</f>
        <v>2275.26</v>
      </c>
      <c r="D77" s="191">
        <f>VLOOKUP(MID(B77,1,8)-0,'1.8.2022'!$B$9:$G$160,5,FALSE)</f>
        <v>2254.21</v>
      </c>
      <c r="E77" s="11">
        <f>IF('muut muuttujat'!$G$3=1,C77,KÄYTTÖTAULU!$B$13)</f>
        <v>2275.26</v>
      </c>
      <c r="F77" s="11">
        <f>IF('muut muuttujat'!$G$3=1,D77,KÄYTTÖTAULU!$B$13)</f>
        <v>2254.21</v>
      </c>
      <c r="G77" s="11">
        <f>KÄYTTÖTAULU!$F$6</f>
        <v>0</v>
      </c>
      <c r="H77" s="11">
        <f>KÄYTTÖTAULU!$F$6</f>
        <v>0</v>
      </c>
      <c r="I77" s="11">
        <f t="shared" si="17"/>
        <v>0</v>
      </c>
      <c r="J77" s="11">
        <f t="shared" si="21"/>
        <v>0</v>
      </c>
      <c r="K77" s="1" t="e">
        <f>ROUND(I77/KÄYTTÖTAULU!$I$8,2)</f>
        <v>#DIV/0!</v>
      </c>
      <c r="L77" s="1" t="e">
        <f>ROUND(J77/KÄYTTÖTAULU!$I$8,2)</f>
        <v>#DIV/0!</v>
      </c>
      <c r="M77" s="1" t="e">
        <f t="shared" si="18"/>
        <v>#DIV/0!</v>
      </c>
      <c r="N77" s="1" t="e">
        <f t="shared" si="19"/>
        <v>#DIV/0!</v>
      </c>
      <c r="O77" s="11"/>
      <c r="P77" s="11"/>
      <c r="Q77" s="11"/>
      <c r="R77" s="24">
        <v>0</v>
      </c>
      <c r="S77" s="25">
        <v>6</v>
      </c>
      <c r="T77" s="25">
        <v>2</v>
      </c>
      <c r="U77" s="25">
        <v>10</v>
      </c>
      <c r="V77" s="25">
        <v>4</v>
      </c>
      <c r="W77" s="49">
        <v>6</v>
      </c>
      <c r="X77" s="25">
        <v>1</v>
      </c>
      <c r="Y77" s="25">
        <f t="shared" si="0"/>
        <v>1.06</v>
      </c>
      <c r="Z77" s="25">
        <f t="shared" si="1"/>
        <v>1.0812000000000002</v>
      </c>
      <c r="AA77" s="25">
        <f t="shared" si="2"/>
        <v>1.1893200000000004</v>
      </c>
      <c r="AB77" s="25">
        <f t="shared" si="20"/>
        <v>1.2368928000000003</v>
      </c>
      <c r="AC77" s="49">
        <f t="shared" si="4"/>
        <v>1.3111063680000004</v>
      </c>
      <c r="AE77" s="1">
        <v>0</v>
      </c>
      <c r="AF77" s="1">
        <v>6</v>
      </c>
      <c r="AG77" s="1">
        <v>2</v>
      </c>
      <c r="AH77" s="1">
        <v>10</v>
      </c>
      <c r="AI77" s="1">
        <v>4</v>
      </c>
      <c r="AJ77" s="1">
        <v>6</v>
      </c>
      <c r="AL77" s="1">
        <f t="shared" si="22"/>
        <v>0</v>
      </c>
    </row>
    <row r="78" spans="1:38" ht="12.75">
      <c r="A78" s="1">
        <v>73</v>
      </c>
      <c r="B78" s="10" t="s">
        <v>289</v>
      </c>
      <c r="C78" s="191">
        <f>VLOOKUP(MID(B78,1,8)-0,'1.8.2022'!$B$9:$G$160,3,FALSE)</f>
        <v>3188.3</v>
      </c>
      <c r="D78" s="191">
        <f>VLOOKUP(MID(B78,1,8)-0,'1.8.2022'!$B$9:$G$160,5,FALSE)</f>
        <v>3158.19</v>
      </c>
      <c r="E78" s="11">
        <f>IF('muut muuttujat'!$G$3=1,C78,KÄYTTÖTAULU!$B$13)</f>
        <v>3188.3</v>
      </c>
      <c r="F78" s="11">
        <f>IF('muut muuttujat'!$G$3=1,D78,KÄYTTÖTAULU!$B$13)</f>
        <v>3158.19</v>
      </c>
      <c r="G78" s="11">
        <f>KÄYTTÖTAULU!$F$6</f>
        <v>0</v>
      </c>
      <c r="H78" s="11">
        <f>KÄYTTÖTAULU!$F$6</f>
        <v>0</v>
      </c>
      <c r="I78" s="11">
        <f t="shared" si="17"/>
        <v>0</v>
      </c>
      <c r="J78" s="11">
        <f t="shared" si="21"/>
        <v>0</v>
      </c>
      <c r="K78" s="1" t="e">
        <f>ROUND(I78/KÄYTTÖTAULU!$I$8,2)</f>
        <v>#DIV/0!</v>
      </c>
      <c r="L78" s="1" t="e">
        <f>ROUND(J78/KÄYTTÖTAULU!$I$8,2)</f>
        <v>#DIV/0!</v>
      </c>
      <c r="M78" s="1" t="e">
        <f t="shared" si="18"/>
        <v>#DIV/0!</v>
      </c>
      <c r="N78" s="1" t="e">
        <f t="shared" si="19"/>
        <v>#DIV/0!</v>
      </c>
      <c r="O78" s="11" t="e">
        <f>ROUND(ROUND(E78*0.83/KÄYTTÖTAULU!$I$8*12/38,2)*0.96,2)</f>
        <v>#DIV/0!</v>
      </c>
      <c r="P78" s="11" t="e">
        <f>ROUND(ROUND(F78*0.83/KÄYTTÖTAULU!$I$8*12/38,2)*0.96,2)</f>
        <v>#DIV/0!</v>
      </c>
      <c r="Q78" s="11"/>
      <c r="R78" s="24">
        <v>0</v>
      </c>
      <c r="S78" s="25">
        <v>6</v>
      </c>
      <c r="T78" s="25">
        <v>2</v>
      </c>
      <c r="U78" s="25">
        <v>10</v>
      </c>
      <c r="V78" s="25">
        <v>4</v>
      </c>
      <c r="W78" s="49">
        <v>6</v>
      </c>
      <c r="X78" s="25">
        <v>1</v>
      </c>
      <c r="Y78" s="25">
        <f t="shared" si="0"/>
        <v>1.06</v>
      </c>
      <c r="Z78" s="25">
        <f t="shared" si="1"/>
        <v>1.0812000000000002</v>
      </c>
      <c r="AA78" s="25">
        <f t="shared" si="2"/>
        <v>1.1893200000000004</v>
      </c>
      <c r="AB78" s="25">
        <f t="shared" si="20"/>
        <v>1.2368928000000003</v>
      </c>
      <c r="AC78" s="49">
        <f t="shared" si="4"/>
        <v>1.3111063680000004</v>
      </c>
      <c r="AE78" s="1">
        <v>0</v>
      </c>
      <c r="AF78" s="1">
        <v>6</v>
      </c>
      <c r="AG78" s="1">
        <v>2</v>
      </c>
      <c r="AH78" s="1">
        <v>10</v>
      </c>
      <c r="AI78" s="1">
        <v>4</v>
      </c>
      <c r="AJ78" s="1">
        <v>6</v>
      </c>
      <c r="AL78" s="1">
        <f t="shared" si="22"/>
        <v>0</v>
      </c>
    </row>
    <row r="79" spans="1:38" ht="12.75">
      <c r="A79" s="1">
        <v>74</v>
      </c>
      <c r="B79" s="10" t="s">
        <v>290</v>
      </c>
      <c r="C79" s="191">
        <f>VLOOKUP(MID(B79,1,8)-0,'1.8.2022'!$B$9:$G$160,3,FALSE)</f>
        <v>2762.88</v>
      </c>
      <c r="D79" s="191">
        <f>VLOOKUP(MID(B79,1,8)-0,'1.8.2022'!$B$9:$G$160,5,FALSE)</f>
        <v>2736.76</v>
      </c>
      <c r="E79" s="11">
        <f>IF('muut muuttujat'!$G$3=1,C79,KÄYTTÖTAULU!$B$13)</f>
        <v>2762.88</v>
      </c>
      <c r="F79" s="11">
        <f>IF('muut muuttujat'!$G$3=1,D79,KÄYTTÖTAULU!$B$13)</f>
        <v>2736.76</v>
      </c>
      <c r="G79" s="11">
        <f>KÄYTTÖTAULU!$F$6</f>
        <v>0</v>
      </c>
      <c r="H79" s="11">
        <f>KÄYTTÖTAULU!$F$6</f>
        <v>0</v>
      </c>
      <c r="I79" s="11">
        <f t="shared" si="17"/>
        <v>0</v>
      </c>
      <c r="J79" s="11">
        <f t="shared" si="21"/>
        <v>0</v>
      </c>
      <c r="K79" s="1" t="e">
        <f>ROUND(I79/KÄYTTÖTAULU!$I$8,2)</f>
        <v>#DIV/0!</v>
      </c>
      <c r="L79" s="1" t="e">
        <f>ROUND(J79/KÄYTTÖTAULU!$I$8,2)</f>
        <v>#DIV/0!</v>
      </c>
      <c r="M79" s="1" t="e">
        <f t="shared" si="18"/>
        <v>#DIV/0!</v>
      </c>
      <c r="N79" s="1" t="e">
        <f t="shared" si="19"/>
        <v>#DIV/0!</v>
      </c>
      <c r="O79" s="11" t="e">
        <f>ROUND(ROUND(E79*0.83/KÄYTTÖTAULU!$I$8*12/38,2)*0.96,2)</f>
        <v>#DIV/0!</v>
      </c>
      <c r="P79" s="11" t="e">
        <f>ROUND(ROUND(F79*0.83/KÄYTTÖTAULU!$I$8*12/38,2)*0.96,2)</f>
        <v>#DIV/0!</v>
      </c>
      <c r="Q79" s="11"/>
      <c r="R79" s="24">
        <v>0</v>
      </c>
      <c r="S79" s="25">
        <v>6</v>
      </c>
      <c r="T79" s="25">
        <v>2</v>
      </c>
      <c r="U79" s="25">
        <v>10</v>
      </c>
      <c r="V79" s="25">
        <v>4</v>
      </c>
      <c r="W79" s="49">
        <v>6</v>
      </c>
      <c r="X79" s="25">
        <v>1</v>
      </c>
      <c r="Y79" s="25">
        <f t="shared" si="0"/>
        <v>1.06</v>
      </c>
      <c r="Z79" s="25">
        <f t="shared" si="1"/>
        <v>1.0812000000000002</v>
      </c>
      <c r="AA79" s="25">
        <f t="shared" si="2"/>
        <v>1.1893200000000004</v>
      </c>
      <c r="AB79" s="25">
        <f t="shared" si="20"/>
        <v>1.2368928000000003</v>
      </c>
      <c r="AC79" s="49">
        <f t="shared" si="4"/>
        <v>1.3111063680000004</v>
      </c>
      <c r="AE79" s="1">
        <v>0</v>
      </c>
      <c r="AF79" s="1">
        <v>6</v>
      </c>
      <c r="AG79" s="1">
        <v>2</v>
      </c>
      <c r="AH79" s="1">
        <v>10</v>
      </c>
      <c r="AI79" s="1">
        <v>4</v>
      </c>
      <c r="AJ79" s="1">
        <v>6</v>
      </c>
      <c r="AL79" s="1">
        <f t="shared" si="22"/>
        <v>0</v>
      </c>
    </row>
    <row r="80" spans="1:38" ht="12.75">
      <c r="A80" s="1">
        <v>75</v>
      </c>
      <c r="B80" s="10" t="s">
        <v>291</v>
      </c>
      <c r="C80" s="191">
        <f>VLOOKUP(MID(B80,1,8)-0,'1.8.2022'!$B$9:$G$160,3,FALSE)</f>
        <v>2454.44</v>
      </c>
      <c r="D80" s="191">
        <f>VLOOKUP(MID(B80,1,8)-0,'1.8.2022'!$B$9:$G$160,5,FALSE)</f>
        <v>2431.22</v>
      </c>
      <c r="E80" s="11">
        <f>IF('muut muuttujat'!$G$3=1,C80,KÄYTTÖTAULU!$B$13)</f>
        <v>2454.44</v>
      </c>
      <c r="F80" s="11">
        <f>IF('muut muuttujat'!$G$3=1,D80,KÄYTTÖTAULU!$B$13)</f>
        <v>2431.22</v>
      </c>
      <c r="G80" s="11">
        <f>KÄYTTÖTAULU!$F$6</f>
        <v>0</v>
      </c>
      <c r="H80" s="11">
        <f>KÄYTTÖTAULU!$F$6</f>
        <v>0</v>
      </c>
      <c r="I80" s="11">
        <f t="shared" si="17"/>
        <v>0</v>
      </c>
      <c r="J80" s="11">
        <f t="shared" si="21"/>
        <v>0</v>
      </c>
      <c r="K80" s="1" t="e">
        <f>ROUND(I80/KÄYTTÖTAULU!$I$8,2)</f>
        <v>#DIV/0!</v>
      </c>
      <c r="L80" s="1" t="e">
        <f>ROUND(J80/KÄYTTÖTAULU!$I$8,2)</f>
        <v>#DIV/0!</v>
      </c>
      <c r="M80" s="1" t="e">
        <f t="shared" si="18"/>
        <v>#DIV/0!</v>
      </c>
      <c r="N80" s="1" t="e">
        <f t="shared" si="19"/>
        <v>#DIV/0!</v>
      </c>
      <c r="O80" s="11" t="e">
        <f>ROUND(ROUND(E80*0.83/KÄYTTÖTAULU!$I$8*12/38,2)*0.96,2)</f>
        <v>#DIV/0!</v>
      </c>
      <c r="P80" s="11" t="e">
        <f>ROUND(ROUND(F80*0.83/KÄYTTÖTAULU!$I$8*12/38,2)*0.96,2)</f>
        <v>#DIV/0!</v>
      </c>
      <c r="Q80" s="11"/>
      <c r="R80" s="24">
        <v>0</v>
      </c>
      <c r="S80" s="25">
        <v>6</v>
      </c>
      <c r="T80" s="25">
        <v>2</v>
      </c>
      <c r="U80" s="25">
        <v>10</v>
      </c>
      <c r="V80" s="25">
        <v>4</v>
      </c>
      <c r="W80" s="49">
        <v>6</v>
      </c>
      <c r="X80" s="25">
        <v>1</v>
      </c>
      <c r="Y80" s="25">
        <f t="shared" si="0"/>
        <v>1.06</v>
      </c>
      <c r="Z80" s="25">
        <f t="shared" si="1"/>
        <v>1.0812000000000002</v>
      </c>
      <c r="AA80" s="25">
        <f t="shared" si="2"/>
        <v>1.1893200000000004</v>
      </c>
      <c r="AB80" s="25">
        <f t="shared" si="20"/>
        <v>1.2368928000000003</v>
      </c>
      <c r="AC80" s="49">
        <f t="shared" si="4"/>
        <v>1.3111063680000004</v>
      </c>
      <c r="AE80" s="1">
        <v>0</v>
      </c>
      <c r="AF80" s="1">
        <v>6</v>
      </c>
      <c r="AG80" s="1">
        <v>2</v>
      </c>
      <c r="AH80" s="1">
        <v>10</v>
      </c>
      <c r="AI80" s="1">
        <v>4</v>
      </c>
      <c r="AJ80" s="1">
        <v>6</v>
      </c>
      <c r="AL80" s="1">
        <f t="shared" si="22"/>
        <v>0</v>
      </c>
    </row>
    <row r="81" spans="1:38" ht="12.75">
      <c r="A81" s="1">
        <v>76</v>
      </c>
      <c r="B81" s="10" t="s">
        <v>292</v>
      </c>
      <c r="C81" s="191">
        <f>VLOOKUP(MID(B81,1,8)-0,'1.8.2022'!$B$9:$G$160,3,FALSE)</f>
        <v>2275.26</v>
      </c>
      <c r="D81" s="191">
        <f>VLOOKUP(MID(B81,1,8)-0,'1.8.2022'!$B$9:$G$160,5,FALSE)</f>
        <v>2254.21</v>
      </c>
      <c r="E81" s="11">
        <f>IF('muut muuttujat'!$G$3=1,C81,KÄYTTÖTAULU!$B$13)</f>
        <v>2275.26</v>
      </c>
      <c r="F81" s="11">
        <f>IF('muut muuttujat'!$G$3=1,D81,KÄYTTÖTAULU!$B$13)</f>
        <v>2254.21</v>
      </c>
      <c r="G81" s="11">
        <f>KÄYTTÖTAULU!$F$6</f>
        <v>0</v>
      </c>
      <c r="H81" s="11">
        <f>KÄYTTÖTAULU!$F$6</f>
        <v>0</v>
      </c>
      <c r="I81" s="11">
        <f aca="true" t="shared" si="23" ref="I81:I89">G81*0.83</f>
        <v>0</v>
      </c>
      <c r="J81" s="11">
        <f t="shared" si="21"/>
        <v>0</v>
      </c>
      <c r="K81" s="1" t="e">
        <f>ROUND(I81/KÄYTTÖTAULU!$I$8,2)</f>
        <v>#DIV/0!</v>
      </c>
      <c r="L81" s="1" t="e">
        <f>ROUND(J81/KÄYTTÖTAULU!$I$8,2)</f>
        <v>#DIV/0!</v>
      </c>
      <c r="M81" s="1" t="e">
        <f>ROUND(K81*(12/38),2)</f>
        <v>#DIV/0!</v>
      </c>
      <c r="N81" s="1" t="e">
        <f>ROUND(L81*(12/38),2)</f>
        <v>#DIV/0!</v>
      </c>
      <c r="O81" s="11" t="e">
        <f>ROUND(ROUND(E81*0.83/KÄYTTÖTAULU!$I$8*12/38,2)*0.96,2)</f>
        <v>#DIV/0!</v>
      </c>
      <c r="P81" s="11" t="e">
        <f>ROUND(ROUND(F81*0.83/KÄYTTÖTAULU!$I$8*12/38,2)*0.96,2)</f>
        <v>#DIV/0!</v>
      </c>
      <c r="Q81" s="11"/>
      <c r="R81" s="24">
        <v>0</v>
      </c>
      <c r="S81" s="25">
        <v>6</v>
      </c>
      <c r="T81" s="25">
        <v>2</v>
      </c>
      <c r="U81" s="25">
        <v>10</v>
      </c>
      <c r="V81" s="25">
        <v>4</v>
      </c>
      <c r="W81" s="49">
        <v>6</v>
      </c>
      <c r="X81" s="25">
        <v>1</v>
      </c>
      <c r="Y81" s="25">
        <f aca="true" t="shared" si="24" ref="Y81:Y92">1+S81/100</f>
        <v>1.06</v>
      </c>
      <c r="Z81" s="25">
        <f aca="true" t="shared" si="25" ref="Z81:Z92">(1+T81/100)*Y81</f>
        <v>1.0812000000000002</v>
      </c>
      <c r="AA81" s="25">
        <f aca="true" t="shared" si="26" ref="AA81:AA92">(1+U81/100)*Z81</f>
        <v>1.1893200000000004</v>
      </c>
      <c r="AB81" s="25">
        <f t="shared" si="20"/>
        <v>1.2368928000000003</v>
      </c>
      <c r="AC81" s="49">
        <f t="shared" si="4"/>
        <v>1.3111063680000004</v>
      </c>
      <c r="AE81" s="1">
        <v>0</v>
      </c>
      <c r="AF81" s="1">
        <v>6</v>
      </c>
      <c r="AG81" s="1">
        <v>2</v>
      </c>
      <c r="AH81" s="1">
        <v>10</v>
      </c>
      <c r="AI81" s="1">
        <v>4</v>
      </c>
      <c r="AJ81" s="1">
        <v>6</v>
      </c>
      <c r="AL81" s="1">
        <f t="shared" si="22"/>
        <v>0</v>
      </c>
    </row>
    <row r="82" spans="1:38" ht="12.75">
      <c r="A82" s="1">
        <v>77</v>
      </c>
      <c r="B82" s="10" t="s">
        <v>293</v>
      </c>
      <c r="C82" s="191">
        <f>VLOOKUP(MID(B82,1,8)-0,'1.8.2022'!$B$9:$G$160,3,FALSE)</f>
        <v>3188.3</v>
      </c>
      <c r="D82" s="191">
        <f>VLOOKUP(MID(B82,1,8)-0,'1.8.2022'!$B$9:$G$160,5,FALSE)</f>
        <v>3158.19</v>
      </c>
      <c r="E82" s="11">
        <f>IF('muut muuttujat'!$G$3=1,C82,KÄYTTÖTAULU!$B$13)</f>
        <v>3188.3</v>
      </c>
      <c r="F82" s="11">
        <f>IF('muut muuttujat'!$G$3=1,D82,KÄYTTÖTAULU!$B$13)</f>
        <v>3158.19</v>
      </c>
      <c r="G82" s="11">
        <f>KÄYTTÖTAULU!$F$6</f>
        <v>0</v>
      </c>
      <c r="H82" s="11">
        <f>KÄYTTÖTAULU!$F$6</f>
        <v>0</v>
      </c>
      <c r="I82" s="11">
        <f t="shared" si="23"/>
        <v>0</v>
      </c>
      <c r="J82" s="11">
        <f t="shared" si="21"/>
        <v>0</v>
      </c>
      <c r="K82" s="1" t="e">
        <f>ROUND(I82/KÄYTTÖTAULU!$I$8,2)</f>
        <v>#DIV/0!</v>
      </c>
      <c r="L82" s="1" t="e">
        <f>ROUND(J82/KÄYTTÖTAULU!$I$8,2)</f>
        <v>#DIV/0!</v>
      </c>
      <c r="M82" s="1" t="e">
        <f aca="true" t="shared" si="27" ref="M82:N85">ROUND(K82*(12/33),2)</f>
        <v>#DIV/0!</v>
      </c>
      <c r="N82" s="1" t="e">
        <f t="shared" si="27"/>
        <v>#DIV/0!</v>
      </c>
      <c r="O82" s="11"/>
      <c r="P82" s="11"/>
      <c r="Q82" s="11"/>
      <c r="R82" s="24">
        <v>0</v>
      </c>
      <c r="S82" s="25">
        <v>6</v>
      </c>
      <c r="T82" s="25">
        <v>2</v>
      </c>
      <c r="U82" s="25">
        <v>10</v>
      </c>
      <c r="V82" s="25">
        <v>4</v>
      </c>
      <c r="W82" s="49">
        <v>6</v>
      </c>
      <c r="X82" s="25">
        <v>1</v>
      </c>
      <c r="Y82" s="25">
        <f t="shared" si="24"/>
        <v>1.06</v>
      </c>
      <c r="Z82" s="25">
        <f t="shared" si="25"/>
        <v>1.0812000000000002</v>
      </c>
      <c r="AA82" s="25">
        <f t="shared" si="26"/>
        <v>1.1893200000000004</v>
      </c>
      <c r="AB82" s="25">
        <f t="shared" si="20"/>
        <v>1.2368928000000003</v>
      </c>
      <c r="AC82" s="49">
        <f aca="true" t="shared" si="28" ref="AC82:AC92">(1+W82/100)*AB82</f>
        <v>1.3111063680000004</v>
      </c>
      <c r="AE82" s="1">
        <v>0</v>
      </c>
      <c r="AF82" s="1">
        <v>6</v>
      </c>
      <c r="AG82" s="1">
        <v>2</v>
      </c>
      <c r="AH82" s="1">
        <v>10</v>
      </c>
      <c r="AI82" s="1">
        <v>4</v>
      </c>
      <c r="AJ82" s="1">
        <v>6</v>
      </c>
      <c r="AL82" s="1">
        <f t="shared" si="22"/>
        <v>0</v>
      </c>
    </row>
    <row r="83" spans="1:38" ht="12.75">
      <c r="A83" s="1">
        <v>78</v>
      </c>
      <c r="B83" s="10" t="s">
        <v>294</v>
      </c>
      <c r="C83" s="191">
        <f>VLOOKUP(MID(B83,1,8)-0,'1.8.2022'!$B$9:$G$160,3,FALSE)</f>
        <v>3039.86</v>
      </c>
      <c r="D83" s="191">
        <f>VLOOKUP(MID(B83,1,8)-0,'1.8.2022'!$B$9:$G$160,5,FALSE)</f>
        <v>3011.08</v>
      </c>
      <c r="E83" s="11">
        <f>IF('muut muuttujat'!$G$3=1,C83,KÄYTTÖTAULU!$B$13)</f>
        <v>3039.86</v>
      </c>
      <c r="F83" s="11">
        <f>IF('muut muuttujat'!$G$3=1,D83,KÄYTTÖTAULU!$B$13)</f>
        <v>3011.08</v>
      </c>
      <c r="G83" s="11">
        <f>KÄYTTÖTAULU!$F$6</f>
        <v>0</v>
      </c>
      <c r="H83" s="11">
        <f>KÄYTTÖTAULU!$F$6</f>
        <v>0</v>
      </c>
      <c r="I83" s="11">
        <f t="shared" si="23"/>
        <v>0</v>
      </c>
      <c r="J83" s="11">
        <f t="shared" si="21"/>
        <v>0</v>
      </c>
      <c r="K83" s="1" t="e">
        <f>ROUND(I83/KÄYTTÖTAULU!$I$8,2)</f>
        <v>#DIV/0!</v>
      </c>
      <c r="L83" s="1" t="e">
        <f>ROUND(J83/KÄYTTÖTAULU!$I$8,2)</f>
        <v>#DIV/0!</v>
      </c>
      <c r="M83" s="1" t="e">
        <f t="shared" si="27"/>
        <v>#DIV/0!</v>
      </c>
      <c r="N83" s="1" t="e">
        <f t="shared" si="27"/>
        <v>#DIV/0!</v>
      </c>
      <c r="O83" s="11"/>
      <c r="P83" s="11"/>
      <c r="Q83" s="11"/>
      <c r="R83" s="24">
        <v>0</v>
      </c>
      <c r="S83" s="25">
        <v>6</v>
      </c>
      <c r="T83" s="25">
        <v>2</v>
      </c>
      <c r="U83" s="25">
        <v>10</v>
      </c>
      <c r="V83" s="25">
        <v>4</v>
      </c>
      <c r="W83" s="49">
        <v>6</v>
      </c>
      <c r="X83" s="25">
        <v>1</v>
      </c>
      <c r="Y83" s="25">
        <f t="shared" si="24"/>
        <v>1.06</v>
      </c>
      <c r="Z83" s="25">
        <f t="shared" si="25"/>
        <v>1.0812000000000002</v>
      </c>
      <c r="AA83" s="25">
        <f t="shared" si="26"/>
        <v>1.1893200000000004</v>
      </c>
      <c r="AB83" s="25">
        <f t="shared" si="20"/>
        <v>1.2368928000000003</v>
      </c>
      <c r="AC83" s="49">
        <f t="shared" si="28"/>
        <v>1.3111063680000004</v>
      </c>
      <c r="AE83" s="1">
        <v>0</v>
      </c>
      <c r="AF83" s="1">
        <v>6</v>
      </c>
      <c r="AG83" s="1">
        <v>2</v>
      </c>
      <c r="AH83" s="1">
        <v>10</v>
      </c>
      <c r="AI83" s="1">
        <v>4</v>
      </c>
      <c r="AJ83" s="1">
        <v>6</v>
      </c>
      <c r="AL83" s="1">
        <f t="shared" si="22"/>
        <v>0</v>
      </c>
    </row>
    <row r="84" spans="1:38" ht="12.75">
      <c r="A84" s="1">
        <v>79</v>
      </c>
      <c r="B84" s="10" t="s">
        <v>295</v>
      </c>
      <c r="C84" s="191">
        <f>VLOOKUP(MID(B84,1,8)-0,'1.8.2022'!$B$9:$G$160,3,FALSE)</f>
        <v>2570.56</v>
      </c>
      <c r="D84" s="191">
        <f>VLOOKUP(MID(B84,1,8)-0,'1.8.2022'!$B$9:$G$160,5,FALSE)</f>
        <v>2546.28</v>
      </c>
      <c r="E84" s="11">
        <f>IF('muut muuttujat'!$G$3=1,C84,KÄYTTÖTAULU!$B$13)</f>
        <v>2570.56</v>
      </c>
      <c r="F84" s="11">
        <f>IF('muut muuttujat'!$G$3=1,D84,KÄYTTÖTAULU!$B$13)</f>
        <v>2546.28</v>
      </c>
      <c r="G84" s="11">
        <f>KÄYTTÖTAULU!$F$6</f>
        <v>0</v>
      </c>
      <c r="H84" s="11">
        <f>KÄYTTÖTAULU!$F$6</f>
        <v>0</v>
      </c>
      <c r="I84" s="11">
        <f t="shared" si="23"/>
        <v>0</v>
      </c>
      <c r="J84" s="11">
        <f t="shared" si="21"/>
        <v>0</v>
      </c>
      <c r="K84" s="1" t="e">
        <f>ROUND(I84/KÄYTTÖTAULU!$I$8,2)</f>
        <v>#DIV/0!</v>
      </c>
      <c r="L84" s="1" t="e">
        <f>ROUND(J84/KÄYTTÖTAULU!$I$8,2)</f>
        <v>#DIV/0!</v>
      </c>
      <c r="M84" s="1" t="e">
        <f t="shared" si="27"/>
        <v>#DIV/0!</v>
      </c>
      <c r="N84" s="1" t="e">
        <f t="shared" si="27"/>
        <v>#DIV/0!</v>
      </c>
      <c r="O84" s="11"/>
      <c r="P84" s="11"/>
      <c r="Q84" s="11"/>
      <c r="R84" s="24">
        <v>0</v>
      </c>
      <c r="S84" s="25">
        <v>6</v>
      </c>
      <c r="T84" s="25">
        <v>2</v>
      </c>
      <c r="U84" s="25">
        <v>10</v>
      </c>
      <c r="V84" s="25">
        <v>4</v>
      </c>
      <c r="W84" s="49">
        <v>6</v>
      </c>
      <c r="X84" s="25">
        <v>1</v>
      </c>
      <c r="Y84" s="25">
        <f t="shared" si="24"/>
        <v>1.06</v>
      </c>
      <c r="Z84" s="25">
        <f t="shared" si="25"/>
        <v>1.0812000000000002</v>
      </c>
      <c r="AA84" s="25">
        <f t="shared" si="26"/>
        <v>1.1893200000000004</v>
      </c>
      <c r="AB84" s="25">
        <f t="shared" si="20"/>
        <v>1.2368928000000003</v>
      </c>
      <c r="AC84" s="49">
        <f t="shared" si="28"/>
        <v>1.3111063680000004</v>
      </c>
      <c r="AE84" s="1">
        <v>0</v>
      </c>
      <c r="AF84" s="1">
        <v>6</v>
      </c>
      <c r="AG84" s="1">
        <v>2</v>
      </c>
      <c r="AH84" s="1">
        <v>10</v>
      </c>
      <c r="AI84" s="1">
        <v>4</v>
      </c>
      <c r="AJ84" s="1">
        <v>6</v>
      </c>
      <c r="AL84" s="1">
        <f t="shared" si="22"/>
        <v>0</v>
      </c>
    </row>
    <row r="85" spans="1:38" ht="12.75">
      <c r="A85" s="1">
        <v>80</v>
      </c>
      <c r="B85" s="10" t="s">
        <v>296</v>
      </c>
      <c r="C85" s="191">
        <f>VLOOKUP(MID(B85,1,8)-0,'1.8.2022'!$B$9:$G$160,3,FALSE)</f>
        <v>2276.38</v>
      </c>
      <c r="D85" s="191">
        <f>VLOOKUP(MID(B85,1,8)-0,'1.8.2022'!$B$9:$G$160,5,FALSE)</f>
        <v>2255.31</v>
      </c>
      <c r="E85" s="11">
        <f>IF('muut muuttujat'!$G$3=1,C85,KÄYTTÖTAULU!$B$13)</f>
        <v>2276.38</v>
      </c>
      <c r="F85" s="11">
        <f>IF('muut muuttujat'!$G$3=1,D85,KÄYTTÖTAULU!$B$13)</f>
        <v>2255.31</v>
      </c>
      <c r="G85" s="11">
        <f>KÄYTTÖTAULU!$F$6</f>
        <v>0</v>
      </c>
      <c r="H85" s="11">
        <f>KÄYTTÖTAULU!$F$6</f>
        <v>0</v>
      </c>
      <c r="I85" s="11">
        <f t="shared" si="23"/>
        <v>0</v>
      </c>
      <c r="J85" s="11">
        <f t="shared" si="21"/>
        <v>0</v>
      </c>
      <c r="K85" s="1" t="e">
        <f>ROUND(I85/KÄYTTÖTAULU!$I$8,2)</f>
        <v>#DIV/0!</v>
      </c>
      <c r="L85" s="1" t="e">
        <f>ROUND(J85/KÄYTTÖTAULU!$I$8,2)</f>
        <v>#DIV/0!</v>
      </c>
      <c r="M85" s="1" t="e">
        <f t="shared" si="27"/>
        <v>#DIV/0!</v>
      </c>
      <c r="N85" s="1" t="e">
        <f t="shared" si="27"/>
        <v>#DIV/0!</v>
      </c>
      <c r="O85" s="11"/>
      <c r="P85" s="11"/>
      <c r="Q85" s="11"/>
      <c r="R85" s="24">
        <v>0</v>
      </c>
      <c r="S85" s="25">
        <v>6</v>
      </c>
      <c r="T85" s="25">
        <v>2</v>
      </c>
      <c r="U85" s="25">
        <v>10</v>
      </c>
      <c r="V85" s="25">
        <v>4</v>
      </c>
      <c r="W85" s="49">
        <v>6</v>
      </c>
      <c r="X85" s="25">
        <v>1</v>
      </c>
      <c r="Y85" s="25">
        <f t="shared" si="24"/>
        <v>1.06</v>
      </c>
      <c r="Z85" s="25">
        <f t="shared" si="25"/>
        <v>1.0812000000000002</v>
      </c>
      <c r="AA85" s="25">
        <f t="shared" si="26"/>
        <v>1.1893200000000004</v>
      </c>
      <c r="AB85" s="25">
        <f t="shared" si="20"/>
        <v>1.2368928000000003</v>
      </c>
      <c r="AC85" s="49">
        <f t="shared" si="28"/>
        <v>1.3111063680000004</v>
      </c>
      <c r="AE85" s="1">
        <v>0</v>
      </c>
      <c r="AF85" s="1">
        <v>6</v>
      </c>
      <c r="AG85" s="1">
        <v>2</v>
      </c>
      <c r="AH85" s="1">
        <v>10</v>
      </c>
      <c r="AI85" s="1">
        <v>4</v>
      </c>
      <c r="AJ85" s="1">
        <v>6</v>
      </c>
      <c r="AL85" s="1">
        <f t="shared" si="22"/>
        <v>0</v>
      </c>
    </row>
    <row r="86" spans="1:38" ht="12.75">
      <c r="A86" s="1">
        <v>81</v>
      </c>
      <c r="B86" s="10" t="s">
        <v>297</v>
      </c>
      <c r="C86" s="191">
        <f>VLOOKUP(MID(B86,1,8)-0,'1.8.2022'!$B$9:$G$160,3,FALSE)</f>
        <v>3188.3</v>
      </c>
      <c r="D86" s="191">
        <f>VLOOKUP(MID(B86,1,8)-0,'1.8.2022'!$B$9:$G$160,5,FALSE)</f>
        <v>3158.19</v>
      </c>
      <c r="E86" s="11">
        <f>IF('muut muuttujat'!$G$3=1,C86,KÄYTTÖTAULU!$B$13)</f>
        <v>3188.3</v>
      </c>
      <c r="F86" s="11">
        <f>IF('muut muuttujat'!$G$3=1,D86,KÄYTTÖTAULU!$B$13)</f>
        <v>3158.19</v>
      </c>
      <c r="G86" s="11">
        <f>KÄYTTÖTAULU!$F$6</f>
        <v>0</v>
      </c>
      <c r="H86" s="11">
        <f>KÄYTTÖTAULU!$F$6</f>
        <v>0</v>
      </c>
      <c r="I86" s="11">
        <f t="shared" si="23"/>
        <v>0</v>
      </c>
      <c r="J86" s="11">
        <f t="shared" si="21"/>
        <v>0</v>
      </c>
      <c r="K86" s="1" t="e">
        <f>ROUND(I86/KÄYTTÖTAULU!$I$8,2)</f>
        <v>#DIV/0!</v>
      </c>
      <c r="L86" s="1" t="e">
        <f>ROUND(J86/KÄYTTÖTAULU!$I$8,2)</f>
        <v>#DIV/0!</v>
      </c>
      <c r="M86" s="1" t="e">
        <f aca="true" t="shared" si="29" ref="M86:N89">ROUND(K86*(12/33),2)</f>
        <v>#DIV/0!</v>
      </c>
      <c r="N86" s="1" t="e">
        <f t="shared" si="29"/>
        <v>#DIV/0!</v>
      </c>
      <c r="O86" s="11" t="e">
        <f>ROUND(ROUND(E86*0.83/KÄYTTÖTAULU!$I$8*12/33,2)*0.96,2)</f>
        <v>#DIV/0!</v>
      </c>
      <c r="P86" s="11" t="e">
        <f>ROUND(ROUND(F86*0.83/KÄYTTÖTAULU!$I$8*12/33,2)*0.96,2)</f>
        <v>#DIV/0!</v>
      </c>
      <c r="Q86" s="11"/>
      <c r="R86" s="24">
        <v>0</v>
      </c>
      <c r="S86" s="25">
        <v>6</v>
      </c>
      <c r="T86" s="25">
        <v>2</v>
      </c>
      <c r="U86" s="25">
        <v>10</v>
      </c>
      <c r="V86" s="25">
        <v>4</v>
      </c>
      <c r="W86" s="49">
        <v>6</v>
      </c>
      <c r="X86" s="25">
        <v>1</v>
      </c>
      <c r="Y86" s="25">
        <f t="shared" si="24"/>
        <v>1.06</v>
      </c>
      <c r="Z86" s="25">
        <f t="shared" si="25"/>
        <v>1.0812000000000002</v>
      </c>
      <c r="AA86" s="25">
        <f t="shared" si="26"/>
        <v>1.1893200000000004</v>
      </c>
      <c r="AB86" s="25">
        <f t="shared" si="20"/>
        <v>1.2368928000000003</v>
      </c>
      <c r="AC86" s="49">
        <f t="shared" si="28"/>
        <v>1.3111063680000004</v>
      </c>
      <c r="AE86" s="1">
        <v>0</v>
      </c>
      <c r="AF86" s="1">
        <v>6</v>
      </c>
      <c r="AG86" s="1">
        <v>2</v>
      </c>
      <c r="AH86" s="1">
        <v>10</v>
      </c>
      <c r="AI86" s="1">
        <v>4</v>
      </c>
      <c r="AJ86" s="1">
        <v>6</v>
      </c>
      <c r="AL86" s="1">
        <f t="shared" si="22"/>
        <v>0</v>
      </c>
    </row>
    <row r="87" spans="1:38" ht="12.75">
      <c r="A87" s="1">
        <v>82</v>
      </c>
      <c r="B87" s="10" t="s">
        <v>298</v>
      </c>
      <c r="C87" s="191">
        <f>VLOOKUP(MID(B87,1,8)-0,'1.8.2022'!$B$9:$G$160,3,FALSE)</f>
        <v>2762.88</v>
      </c>
      <c r="D87" s="191">
        <f>VLOOKUP(MID(B87,1,8)-0,'1.8.2022'!$B$9:$G$160,5,FALSE)</f>
        <v>2736.76</v>
      </c>
      <c r="E87" s="11">
        <f>IF('muut muuttujat'!$G$3=1,C87,KÄYTTÖTAULU!$B$13)</f>
        <v>2762.88</v>
      </c>
      <c r="F87" s="11">
        <f>IF('muut muuttujat'!$G$3=1,D87,KÄYTTÖTAULU!$B$13)</f>
        <v>2736.76</v>
      </c>
      <c r="G87" s="11">
        <f>KÄYTTÖTAULU!$F$6</f>
        <v>0</v>
      </c>
      <c r="H87" s="11">
        <f>KÄYTTÖTAULU!$F$6</f>
        <v>0</v>
      </c>
      <c r="I87" s="11">
        <f t="shared" si="23"/>
        <v>0</v>
      </c>
      <c r="J87" s="11">
        <f t="shared" si="21"/>
        <v>0</v>
      </c>
      <c r="K87" s="1" t="e">
        <f>ROUND(I87/KÄYTTÖTAULU!$I$8,2)</f>
        <v>#DIV/0!</v>
      </c>
      <c r="L87" s="1" t="e">
        <f>ROUND(J87/KÄYTTÖTAULU!$I$8,2)</f>
        <v>#DIV/0!</v>
      </c>
      <c r="M87" s="1" t="e">
        <f t="shared" si="29"/>
        <v>#DIV/0!</v>
      </c>
      <c r="N87" s="1" t="e">
        <f t="shared" si="29"/>
        <v>#DIV/0!</v>
      </c>
      <c r="O87" s="11" t="e">
        <f>ROUND(ROUND(E87*0.83/KÄYTTÖTAULU!$I$8*12/33,2)*0.96,2)</f>
        <v>#DIV/0!</v>
      </c>
      <c r="P87" s="11" t="e">
        <f>ROUND(ROUND(F87*0.83/KÄYTTÖTAULU!$I$8*12/33,2)*0.96,2)</f>
        <v>#DIV/0!</v>
      </c>
      <c r="Q87" s="11"/>
      <c r="R87" s="24">
        <v>0</v>
      </c>
      <c r="S87" s="25">
        <v>6</v>
      </c>
      <c r="T87" s="25">
        <v>2</v>
      </c>
      <c r="U87" s="25">
        <v>10</v>
      </c>
      <c r="V87" s="25">
        <v>4</v>
      </c>
      <c r="W87" s="49">
        <v>6</v>
      </c>
      <c r="X87" s="25">
        <v>1</v>
      </c>
      <c r="Y87" s="25">
        <f t="shared" si="24"/>
        <v>1.06</v>
      </c>
      <c r="Z87" s="25">
        <f t="shared" si="25"/>
        <v>1.0812000000000002</v>
      </c>
      <c r="AA87" s="25">
        <f t="shared" si="26"/>
        <v>1.1893200000000004</v>
      </c>
      <c r="AB87" s="25">
        <f t="shared" si="20"/>
        <v>1.2368928000000003</v>
      </c>
      <c r="AC87" s="49">
        <f t="shared" si="28"/>
        <v>1.3111063680000004</v>
      </c>
      <c r="AE87" s="1">
        <v>0</v>
      </c>
      <c r="AF87" s="1">
        <v>6</v>
      </c>
      <c r="AG87" s="1">
        <v>2</v>
      </c>
      <c r="AH87" s="1">
        <v>10</v>
      </c>
      <c r="AI87" s="1">
        <v>4</v>
      </c>
      <c r="AJ87" s="1">
        <v>6</v>
      </c>
      <c r="AL87" s="1">
        <f t="shared" si="22"/>
        <v>0</v>
      </c>
    </row>
    <row r="88" spans="1:38" ht="12.75">
      <c r="A88" s="1">
        <v>83</v>
      </c>
      <c r="B88" s="10" t="s">
        <v>299</v>
      </c>
      <c r="C88" s="191">
        <f>VLOOKUP(MID(B88,1,8)-0,'1.8.2022'!$B$9:$G$160,3,FALSE)</f>
        <v>2454.44</v>
      </c>
      <c r="D88" s="191">
        <f>VLOOKUP(MID(B88,1,8)-0,'1.8.2022'!$B$9:$G$160,5,FALSE)</f>
        <v>2431.22</v>
      </c>
      <c r="E88" s="11">
        <f>IF('muut muuttujat'!$G$3=1,C88,KÄYTTÖTAULU!$B$13)</f>
        <v>2454.44</v>
      </c>
      <c r="F88" s="11">
        <f>IF('muut muuttujat'!$G$3=1,D88,KÄYTTÖTAULU!$B$13)</f>
        <v>2431.22</v>
      </c>
      <c r="G88" s="11">
        <f>KÄYTTÖTAULU!$F$6</f>
        <v>0</v>
      </c>
      <c r="H88" s="11">
        <f>KÄYTTÖTAULU!$F$6</f>
        <v>0</v>
      </c>
      <c r="I88" s="11">
        <f t="shared" si="23"/>
        <v>0</v>
      </c>
      <c r="J88" s="11">
        <f t="shared" si="21"/>
        <v>0</v>
      </c>
      <c r="K88" s="1" t="e">
        <f>ROUND(I88/KÄYTTÖTAULU!$I$8,2)</f>
        <v>#DIV/0!</v>
      </c>
      <c r="L88" s="1" t="e">
        <f>ROUND(J88/KÄYTTÖTAULU!$I$8,2)</f>
        <v>#DIV/0!</v>
      </c>
      <c r="M88" s="1" t="e">
        <f t="shared" si="29"/>
        <v>#DIV/0!</v>
      </c>
      <c r="N88" s="1" t="e">
        <f t="shared" si="29"/>
        <v>#DIV/0!</v>
      </c>
      <c r="O88" s="11" t="e">
        <f>ROUND(ROUND(E88*0.83/KÄYTTÖTAULU!$I$8*12/33,2)*0.96,2)</f>
        <v>#DIV/0!</v>
      </c>
      <c r="P88" s="11" t="e">
        <f>ROUND(ROUND(F88*0.83/KÄYTTÖTAULU!$I$8*12/33,2)*0.96,2)</f>
        <v>#DIV/0!</v>
      </c>
      <c r="Q88" s="11"/>
      <c r="R88" s="24">
        <v>0</v>
      </c>
      <c r="S88" s="25">
        <v>6</v>
      </c>
      <c r="T88" s="25">
        <v>2</v>
      </c>
      <c r="U88" s="25">
        <v>10</v>
      </c>
      <c r="V88" s="25">
        <v>4</v>
      </c>
      <c r="W88" s="49">
        <v>6</v>
      </c>
      <c r="X88" s="25">
        <v>1</v>
      </c>
      <c r="Y88" s="25">
        <f t="shared" si="24"/>
        <v>1.06</v>
      </c>
      <c r="Z88" s="25">
        <f t="shared" si="25"/>
        <v>1.0812000000000002</v>
      </c>
      <c r="AA88" s="25">
        <f t="shared" si="26"/>
        <v>1.1893200000000004</v>
      </c>
      <c r="AB88" s="25">
        <f t="shared" si="20"/>
        <v>1.2368928000000003</v>
      </c>
      <c r="AC88" s="49">
        <f t="shared" si="28"/>
        <v>1.3111063680000004</v>
      </c>
      <c r="AE88" s="1">
        <v>0</v>
      </c>
      <c r="AF88" s="1">
        <v>6</v>
      </c>
      <c r="AG88" s="1">
        <v>2</v>
      </c>
      <c r="AH88" s="1">
        <v>10</v>
      </c>
      <c r="AI88" s="1">
        <v>4</v>
      </c>
      <c r="AJ88" s="1">
        <v>6</v>
      </c>
      <c r="AL88" s="1">
        <f t="shared" si="22"/>
        <v>0</v>
      </c>
    </row>
    <row r="89" spans="1:38" ht="12.75">
      <c r="A89" s="1">
        <v>84</v>
      </c>
      <c r="B89" s="10" t="s">
        <v>300</v>
      </c>
      <c r="C89" s="191">
        <f>VLOOKUP(MID(B89,1,8)-0,'1.8.2022'!$B$9:$G$160,3,FALSE)</f>
        <v>2275.26</v>
      </c>
      <c r="D89" s="191">
        <f>VLOOKUP(MID(B89,1,8)-0,'1.8.2022'!$B$9:$G$160,5,FALSE)</f>
        <v>2254.21</v>
      </c>
      <c r="E89" s="11">
        <f>IF('muut muuttujat'!$G$3=1,C89,KÄYTTÖTAULU!$B$13)</f>
        <v>2275.26</v>
      </c>
      <c r="F89" s="11">
        <f>IF('muut muuttujat'!$G$3=1,D89,KÄYTTÖTAULU!$B$13)</f>
        <v>2254.21</v>
      </c>
      <c r="G89" s="11">
        <f>KÄYTTÖTAULU!$F$6</f>
        <v>0</v>
      </c>
      <c r="H89" s="11">
        <f>KÄYTTÖTAULU!$F$6</f>
        <v>0</v>
      </c>
      <c r="I89" s="11">
        <f t="shared" si="23"/>
        <v>0</v>
      </c>
      <c r="J89" s="11">
        <f t="shared" si="21"/>
        <v>0</v>
      </c>
      <c r="K89" s="1" t="e">
        <f>ROUND(I89/KÄYTTÖTAULU!$I$8,2)</f>
        <v>#DIV/0!</v>
      </c>
      <c r="L89" s="1" t="e">
        <f>ROUND(J89/KÄYTTÖTAULU!$I$8,2)</f>
        <v>#DIV/0!</v>
      </c>
      <c r="M89" s="1" t="e">
        <f t="shared" si="29"/>
        <v>#DIV/0!</v>
      </c>
      <c r="N89" s="1" t="e">
        <f t="shared" si="29"/>
        <v>#DIV/0!</v>
      </c>
      <c r="O89" s="11" t="e">
        <f>ROUND(ROUND(E89*0.83/KÄYTTÖTAULU!$I$8*12/33,2)*0.96,2)</f>
        <v>#DIV/0!</v>
      </c>
      <c r="P89" s="11" t="e">
        <f>ROUND(ROUND(F89*0.83/KÄYTTÖTAULU!$I$8*12/33,2)*0.96,2)</f>
        <v>#DIV/0!</v>
      </c>
      <c r="Q89" s="11"/>
      <c r="R89" s="24">
        <v>0</v>
      </c>
      <c r="S89" s="25">
        <v>6</v>
      </c>
      <c r="T89" s="25">
        <v>2</v>
      </c>
      <c r="U89" s="25">
        <v>10</v>
      </c>
      <c r="V89" s="25">
        <v>4</v>
      </c>
      <c r="W89" s="49">
        <v>6</v>
      </c>
      <c r="X89" s="25">
        <v>1</v>
      </c>
      <c r="Y89" s="25">
        <f t="shared" si="24"/>
        <v>1.06</v>
      </c>
      <c r="Z89" s="25">
        <f t="shared" si="25"/>
        <v>1.0812000000000002</v>
      </c>
      <c r="AA89" s="25">
        <f t="shared" si="26"/>
        <v>1.1893200000000004</v>
      </c>
      <c r="AB89" s="25">
        <f t="shared" si="20"/>
        <v>1.2368928000000003</v>
      </c>
      <c r="AC89" s="49">
        <f t="shared" si="28"/>
        <v>1.3111063680000004</v>
      </c>
      <c r="AE89" s="1">
        <v>0</v>
      </c>
      <c r="AF89" s="1">
        <v>6</v>
      </c>
      <c r="AG89" s="1">
        <v>2</v>
      </c>
      <c r="AH89" s="1">
        <v>10</v>
      </c>
      <c r="AI89" s="1">
        <v>4</v>
      </c>
      <c r="AJ89" s="1">
        <v>6</v>
      </c>
      <c r="AL89" s="1">
        <f t="shared" si="22"/>
        <v>0</v>
      </c>
    </row>
    <row r="90" spans="1:38" ht="12.75">
      <c r="A90" s="1">
        <v>85</v>
      </c>
      <c r="B90" s="10" t="s">
        <v>301</v>
      </c>
      <c r="C90" s="191">
        <f>VLOOKUP(MID(B90,1,8)-0,'1.8.2022'!$B$9:$G$160,3,FALSE)</f>
        <v>4159.07</v>
      </c>
      <c r="D90" s="191">
        <f>VLOOKUP(MID(B90,1,8)-0,'1.8.2022'!$B$9:$G$160,5,FALSE)</f>
        <v>4119.21</v>
      </c>
      <c r="E90" s="11">
        <f>IF('muut muuttujat'!$G$3=1,C90,KÄYTTÖTAULU!$B$13)</f>
        <v>4159.07</v>
      </c>
      <c r="F90" s="11">
        <f>IF('muut muuttujat'!$G$3=1,D90,KÄYTTÖTAULU!$B$13)</f>
        <v>4119.21</v>
      </c>
      <c r="G90" s="11">
        <f>KÄYTTÖTAULU!$F$6</f>
        <v>0</v>
      </c>
      <c r="H90" s="11">
        <f>KÄYTTÖTAULU!$F$6</f>
        <v>0</v>
      </c>
      <c r="I90" s="11"/>
      <c r="J90" s="11"/>
      <c r="O90" s="11"/>
      <c r="P90" s="11"/>
      <c r="Q90" s="11"/>
      <c r="R90" s="24">
        <v>0</v>
      </c>
      <c r="S90" s="25">
        <v>0</v>
      </c>
      <c r="T90" s="25">
        <v>0</v>
      </c>
      <c r="U90" s="25">
        <v>5</v>
      </c>
      <c r="V90" s="25">
        <v>4</v>
      </c>
      <c r="W90" s="49">
        <v>4</v>
      </c>
      <c r="X90" s="25">
        <v>1</v>
      </c>
      <c r="Y90" s="25">
        <f t="shared" si="24"/>
        <v>1</v>
      </c>
      <c r="Z90" s="25">
        <f t="shared" si="25"/>
        <v>1</v>
      </c>
      <c r="AA90" s="25">
        <f t="shared" si="26"/>
        <v>1.05</v>
      </c>
      <c r="AB90" s="25">
        <f t="shared" si="20"/>
        <v>1.092</v>
      </c>
      <c r="AC90" s="49">
        <f t="shared" si="28"/>
        <v>1.13568</v>
      </c>
      <c r="AE90" s="1">
        <v>0</v>
      </c>
      <c r="AF90" s="1">
        <v>0</v>
      </c>
      <c r="AG90" s="1">
        <v>0</v>
      </c>
      <c r="AH90" s="1">
        <v>5</v>
      </c>
      <c r="AI90" s="1">
        <v>4</v>
      </c>
      <c r="AJ90" s="1">
        <v>4</v>
      </c>
      <c r="AL90" s="1">
        <f t="shared" si="22"/>
        <v>0</v>
      </c>
    </row>
    <row r="91" spans="1:38" ht="12.75">
      <c r="A91" s="1">
        <v>86</v>
      </c>
      <c r="B91" s="10" t="s">
        <v>302</v>
      </c>
      <c r="C91" s="191">
        <f>VLOOKUP(MID(B91,1,8)-0,'1.8.2022'!$B$9:$G$160,3,FALSE)</f>
        <v>3949.53</v>
      </c>
      <c r="D91" s="191">
        <f>VLOOKUP(MID(B91,1,8)-0,'1.8.2022'!$B$9:$G$160,5,FALSE)</f>
        <v>3911.58</v>
      </c>
      <c r="E91" s="11">
        <f>IF('muut muuttujat'!$G$3=1,C91,KÄYTTÖTAULU!$B$13)</f>
        <v>3949.53</v>
      </c>
      <c r="F91" s="11">
        <f>IF('muut muuttujat'!$G$3=1,D91,KÄYTTÖTAULU!$B$13)</f>
        <v>3911.58</v>
      </c>
      <c r="G91" s="11">
        <f>KÄYTTÖTAULU!$F$6</f>
        <v>0</v>
      </c>
      <c r="H91" s="11">
        <f>KÄYTTÖTAULU!$F$6</f>
        <v>0</v>
      </c>
      <c r="I91" s="11"/>
      <c r="J91" s="11"/>
      <c r="O91" s="11"/>
      <c r="P91" s="11"/>
      <c r="Q91" s="11"/>
      <c r="R91" s="24">
        <v>0</v>
      </c>
      <c r="S91" s="25">
        <v>0</v>
      </c>
      <c r="T91" s="25">
        <v>0</v>
      </c>
      <c r="U91" s="25">
        <v>5</v>
      </c>
      <c r="V91" s="25">
        <v>4</v>
      </c>
      <c r="W91" s="49">
        <v>4</v>
      </c>
      <c r="X91" s="25">
        <v>1</v>
      </c>
      <c r="Y91" s="25">
        <f t="shared" si="24"/>
        <v>1</v>
      </c>
      <c r="Z91" s="25">
        <f t="shared" si="25"/>
        <v>1</v>
      </c>
      <c r="AA91" s="25">
        <f t="shared" si="26"/>
        <v>1.05</v>
      </c>
      <c r="AB91" s="25">
        <f t="shared" si="20"/>
        <v>1.092</v>
      </c>
      <c r="AC91" s="49">
        <f t="shared" si="28"/>
        <v>1.13568</v>
      </c>
      <c r="AE91" s="1">
        <v>0</v>
      </c>
      <c r="AF91" s="1">
        <v>0</v>
      </c>
      <c r="AG91" s="1">
        <v>0</v>
      </c>
      <c r="AH91" s="1">
        <v>5</v>
      </c>
      <c r="AI91" s="1">
        <v>4</v>
      </c>
      <c r="AJ91" s="1">
        <v>4</v>
      </c>
      <c r="AL91" s="1">
        <f t="shared" si="22"/>
        <v>0</v>
      </c>
    </row>
    <row r="92" spans="1:38" ht="12.75">
      <c r="A92" s="1">
        <v>87</v>
      </c>
      <c r="B92" s="10" t="s">
        <v>303</v>
      </c>
      <c r="C92" s="191">
        <f>VLOOKUP(MID(B92,1,8)-0,'1.8.2022'!$B$9:$G$160,3,FALSE)</f>
        <v>3812.86</v>
      </c>
      <c r="D92" s="191">
        <f>VLOOKUP(MID(B92,1,8)-0,'1.8.2022'!$B$9:$G$160,5,FALSE)</f>
        <v>3775.92</v>
      </c>
      <c r="E92" s="11">
        <f>IF('muut muuttujat'!$G$3=1,C92,KÄYTTÖTAULU!$B$13)</f>
        <v>3812.86</v>
      </c>
      <c r="F92" s="11">
        <f>IF('muut muuttujat'!$G$3=1,D92,KÄYTTÖTAULU!$B$13)</f>
        <v>3775.92</v>
      </c>
      <c r="G92" s="11">
        <f>KÄYTTÖTAULU!$F$6</f>
        <v>0</v>
      </c>
      <c r="H92" s="11">
        <f>KÄYTTÖTAULU!$F$6</f>
        <v>0</v>
      </c>
      <c r="I92" s="11"/>
      <c r="J92" s="11"/>
      <c r="O92" s="11"/>
      <c r="P92" s="11"/>
      <c r="Q92" s="11"/>
      <c r="R92" s="24">
        <v>0</v>
      </c>
      <c r="S92" s="25">
        <v>0</v>
      </c>
      <c r="T92" s="25">
        <v>0</v>
      </c>
      <c r="U92" s="25">
        <v>5</v>
      </c>
      <c r="V92" s="25">
        <v>4</v>
      </c>
      <c r="W92" s="49">
        <v>4</v>
      </c>
      <c r="X92" s="25">
        <v>1</v>
      </c>
      <c r="Y92" s="25">
        <f t="shared" si="24"/>
        <v>1</v>
      </c>
      <c r="Z92" s="25">
        <f t="shared" si="25"/>
        <v>1</v>
      </c>
      <c r="AA92" s="25">
        <f t="shared" si="26"/>
        <v>1.05</v>
      </c>
      <c r="AB92" s="25">
        <f t="shared" si="20"/>
        <v>1.092</v>
      </c>
      <c r="AC92" s="49">
        <f t="shared" si="28"/>
        <v>1.13568</v>
      </c>
      <c r="AE92" s="1">
        <v>0</v>
      </c>
      <c r="AF92" s="1">
        <v>0</v>
      </c>
      <c r="AG92" s="1">
        <v>0</v>
      </c>
      <c r="AH92" s="1">
        <v>5</v>
      </c>
      <c r="AI92" s="1">
        <v>4</v>
      </c>
      <c r="AJ92" s="1">
        <v>4</v>
      </c>
      <c r="AL92" s="1">
        <f t="shared" si="22"/>
        <v>0</v>
      </c>
    </row>
    <row r="93" spans="1:38" ht="12.75">
      <c r="A93" s="1">
        <v>88</v>
      </c>
      <c r="B93" s="10" t="s">
        <v>304</v>
      </c>
      <c r="C93" s="191">
        <f>VLOOKUP(MID(B93,1,8)-0,'1.8.2022'!$B$9:$G$160,3,FALSE)</f>
        <v>3845.55</v>
      </c>
      <c r="D93" s="191">
        <f>VLOOKUP(MID(B93,1,8)-0,'1.8.2022'!$B$9:$G$160,5,FALSE)</f>
        <v>3808.64</v>
      </c>
      <c r="E93" s="11">
        <f>IF('muut muuttujat'!$G$3=1,C93,KÄYTTÖTAULU!$B$13)</f>
        <v>3845.55</v>
      </c>
      <c r="F93" s="11">
        <f>IF('muut muuttujat'!$G$3=1,D93,KÄYTTÖTAULU!$B$13)</f>
        <v>3808.64</v>
      </c>
      <c r="G93" s="11">
        <f>KÄYTTÖTAULU!$F$6</f>
        <v>0</v>
      </c>
      <c r="H93" s="11">
        <f>KÄYTTÖTAULU!$F$6</f>
        <v>0</v>
      </c>
      <c r="I93" s="11"/>
      <c r="J93" s="11"/>
      <c r="O93" s="11"/>
      <c r="P93" s="11"/>
      <c r="Q93" s="11"/>
      <c r="R93" s="24">
        <v>0</v>
      </c>
      <c r="S93" s="25">
        <v>0</v>
      </c>
      <c r="T93" s="25">
        <v>0</v>
      </c>
      <c r="U93" s="25">
        <v>5</v>
      </c>
      <c r="V93" s="25">
        <v>4</v>
      </c>
      <c r="W93" s="49">
        <v>6</v>
      </c>
      <c r="X93" s="25">
        <v>1</v>
      </c>
      <c r="Y93" s="25">
        <f aca="true" t="shared" si="30" ref="Y93:Y115">1+S93/100</f>
        <v>1</v>
      </c>
      <c r="Z93" s="25">
        <f aca="true" t="shared" si="31" ref="Z93:Z114">(1+T93/100)*Y93</f>
        <v>1</v>
      </c>
      <c r="AA93" s="25">
        <f aca="true" t="shared" si="32" ref="AA93:AA114">(1+U93/100)*Z93</f>
        <v>1.05</v>
      </c>
      <c r="AB93" s="25">
        <f aca="true" t="shared" si="33" ref="AB93:AB115">(1+V93/100)*AA93</f>
        <v>1.092</v>
      </c>
      <c r="AC93" s="49">
        <f aca="true" t="shared" si="34" ref="AC93:AC115">(1+W93/100)*AB93</f>
        <v>1.15752</v>
      </c>
      <c r="AE93" s="1">
        <v>0</v>
      </c>
      <c r="AF93" s="1">
        <v>0</v>
      </c>
      <c r="AG93" s="1">
        <v>0</v>
      </c>
      <c r="AH93" s="1">
        <v>5</v>
      </c>
      <c r="AI93" s="1">
        <v>4</v>
      </c>
      <c r="AJ93" s="1">
        <v>6</v>
      </c>
      <c r="AL93" s="1">
        <f t="shared" si="22"/>
        <v>0</v>
      </c>
    </row>
    <row r="94" spans="1:38" ht="12.75">
      <c r="A94" s="1">
        <v>89</v>
      </c>
      <c r="B94" s="10" t="s">
        <v>305</v>
      </c>
      <c r="C94" s="191">
        <f>VLOOKUP(MID(B94,1,8)-0,'1.8.2022'!$B$9:$G$160,3,FALSE)</f>
        <v>3460.54</v>
      </c>
      <c r="D94" s="191">
        <f>VLOOKUP(MID(B94,1,8)-0,'1.8.2022'!$B$9:$G$160,5,FALSE)</f>
        <v>3427.29</v>
      </c>
      <c r="E94" s="11">
        <f>IF('muut muuttujat'!$G$3=1,C94,KÄYTTÖTAULU!$B$13)</f>
        <v>3460.54</v>
      </c>
      <c r="F94" s="11">
        <f>IF('muut muuttujat'!$G$3=1,D94,KÄYTTÖTAULU!$B$13)</f>
        <v>3427.29</v>
      </c>
      <c r="G94" s="11">
        <f>KÄYTTÖTAULU!$F$6</f>
        <v>0</v>
      </c>
      <c r="H94" s="11">
        <f>KÄYTTÖTAULU!$F$6</f>
        <v>0</v>
      </c>
      <c r="I94" s="11"/>
      <c r="J94" s="11"/>
      <c r="O94" s="11"/>
      <c r="P94" s="11"/>
      <c r="Q94" s="11"/>
      <c r="R94" s="24">
        <v>0</v>
      </c>
      <c r="S94" s="25">
        <v>0</v>
      </c>
      <c r="T94" s="25">
        <v>0</v>
      </c>
      <c r="U94" s="25">
        <v>5</v>
      </c>
      <c r="V94" s="25">
        <v>4</v>
      </c>
      <c r="W94" s="49">
        <v>6</v>
      </c>
      <c r="X94" s="25">
        <v>1</v>
      </c>
      <c r="Y94" s="25">
        <f t="shared" si="30"/>
        <v>1</v>
      </c>
      <c r="Z94" s="25">
        <f t="shared" si="31"/>
        <v>1</v>
      </c>
      <c r="AA94" s="25">
        <f t="shared" si="32"/>
        <v>1.05</v>
      </c>
      <c r="AB94" s="25">
        <f t="shared" si="33"/>
        <v>1.092</v>
      </c>
      <c r="AC94" s="49">
        <f t="shared" si="34"/>
        <v>1.15752</v>
      </c>
      <c r="AE94" s="1">
        <v>0</v>
      </c>
      <c r="AF94" s="1">
        <v>0</v>
      </c>
      <c r="AG94" s="1">
        <v>0</v>
      </c>
      <c r="AH94" s="1">
        <v>5</v>
      </c>
      <c r="AI94" s="1">
        <v>4</v>
      </c>
      <c r="AJ94" s="1">
        <v>6</v>
      </c>
      <c r="AL94" s="1">
        <f t="shared" si="22"/>
        <v>0</v>
      </c>
    </row>
    <row r="95" spans="1:38" ht="12.75">
      <c r="A95" s="1">
        <v>90</v>
      </c>
      <c r="B95" s="10" t="s">
        <v>306</v>
      </c>
      <c r="C95" s="191">
        <f>VLOOKUP(MID(B95,1,8)-0,'1.8.2022'!$B$9:$G$160,3,FALSE)</f>
        <v>2701.96</v>
      </c>
      <c r="D95" s="191">
        <f>VLOOKUP(MID(B95,1,8)-0,'1.8.2022'!$B$9:$G$160,5,FALSE)</f>
        <v>2676.25</v>
      </c>
      <c r="E95" s="11">
        <f>IF('muut muuttujat'!$G$3=1,C95,KÄYTTÖTAULU!$B$13)</f>
        <v>2701.96</v>
      </c>
      <c r="F95" s="11">
        <f>IF('muut muuttujat'!$G$3=1,D95,KÄYTTÖTAULU!$B$13)</f>
        <v>2676.25</v>
      </c>
      <c r="G95" s="11">
        <f>KÄYTTÖTAULU!$F$6</f>
        <v>0</v>
      </c>
      <c r="H95" s="11">
        <f>KÄYTTÖTAULU!$F$6</f>
        <v>0</v>
      </c>
      <c r="I95" s="11">
        <f>G95*0.83</f>
        <v>0</v>
      </c>
      <c r="J95" s="11">
        <f>H95*0.83</f>
        <v>0</v>
      </c>
      <c r="K95" s="1" t="e">
        <f>ROUND(I95/KÄYTTÖTAULU!$I$8,2)</f>
        <v>#DIV/0!</v>
      </c>
      <c r="L95" s="1" t="e">
        <f>ROUND(J95/KÄYTTÖTAULU!$I$8,2)</f>
        <v>#DIV/0!</v>
      </c>
      <c r="M95" s="1" t="e">
        <f>ROUND(K95*(12/35),2)</f>
        <v>#DIV/0!</v>
      </c>
      <c r="N95" s="1" t="e">
        <f>ROUND(L95*(12/35),2)</f>
        <v>#DIV/0!</v>
      </c>
      <c r="O95" s="11"/>
      <c r="P95" s="11"/>
      <c r="Q95" s="11"/>
      <c r="R95" s="24">
        <v>0</v>
      </c>
      <c r="S95" s="25">
        <v>2</v>
      </c>
      <c r="T95" s="25">
        <v>1</v>
      </c>
      <c r="U95" s="25">
        <v>9</v>
      </c>
      <c r="V95" s="25">
        <v>6</v>
      </c>
      <c r="W95" s="49">
        <v>6</v>
      </c>
      <c r="X95" s="25">
        <v>1</v>
      </c>
      <c r="Y95" s="25">
        <f t="shared" si="30"/>
        <v>1.02</v>
      </c>
      <c r="Z95" s="25">
        <f t="shared" si="31"/>
        <v>1.0302</v>
      </c>
      <c r="AA95" s="25">
        <f t="shared" si="32"/>
        <v>1.122918</v>
      </c>
      <c r="AB95" s="25">
        <f t="shared" si="33"/>
        <v>1.1902930800000002</v>
      </c>
      <c r="AC95" s="49">
        <f t="shared" si="34"/>
        <v>1.2617106648000003</v>
      </c>
      <c r="AE95" s="1">
        <v>0</v>
      </c>
      <c r="AF95" s="1">
        <v>2</v>
      </c>
      <c r="AG95" s="1">
        <v>2</v>
      </c>
      <c r="AH95" s="1">
        <v>9</v>
      </c>
      <c r="AI95" s="1">
        <v>6</v>
      </c>
      <c r="AJ95" s="1">
        <v>6</v>
      </c>
      <c r="AL95" s="1">
        <f t="shared" si="22"/>
        <v>1</v>
      </c>
    </row>
    <row r="96" spans="1:38" ht="12.75">
      <c r="A96" s="1">
        <v>91</v>
      </c>
      <c r="B96" s="10" t="s">
        <v>307</v>
      </c>
      <c r="C96" s="191">
        <f>VLOOKUP(MID(B96,1,8)-0,'1.8.2022'!$B$9:$G$160,3,FALSE)</f>
        <v>2631.25</v>
      </c>
      <c r="D96" s="191">
        <f>VLOOKUP(MID(B96,1,8)-0,'1.8.2022'!$B$9:$G$160,5,FALSE)</f>
        <v>2606.23</v>
      </c>
      <c r="E96" s="11">
        <f>IF('muut muuttujat'!$G$3=1,C96,KÄYTTÖTAULU!$B$13)</f>
        <v>2631.25</v>
      </c>
      <c r="F96" s="11">
        <f>IF('muut muuttujat'!$G$3=1,D96,KÄYTTÖTAULU!$B$13)</f>
        <v>2606.23</v>
      </c>
      <c r="G96" s="11">
        <f>KÄYTTÖTAULU!$F$6</f>
        <v>0</v>
      </c>
      <c r="H96" s="11">
        <f>KÄYTTÖTAULU!$F$6</f>
        <v>0</v>
      </c>
      <c r="I96" s="11">
        <f aca="true" t="shared" si="35" ref="I96:I101">G96*0.83</f>
        <v>0</v>
      </c>
      <c r="J96" s="11">
        <f aca="true" t="shared" si="36" ref="J96:J101">H96*0.83</f>
        <v>0</v>
      </c>
      <c r="K96" s="1" t="e">
        <f>ROUND(I96/KÄYTTÖTAULU!$I$8,2)</f>
        <v>#DIV/0!</v>
      </c>
      <c r="L96" s="1" t="e">
        <f>ROUND(J96/KÄYTTÖTAULU!$I$8,2)</f>
        <v>#DIV/0!</v>
      </c>
      <c r="M96" s="1" t="e">
        <f aca="true" t="shared" si="37" ref="M96:M101">ROUND(K96*(12/35),2)</f>
        <v>#DIV/0!</v>
      </c>
      <c r="N96" s="1" t="e">
        <f aca="true" t="shared" si="38" ref="N96:N101">ROUND(L96*(12/35),2)</f>
        <v>#DIV/0!</v>
      </c>
      <c r="O96" s="11"/>
      <c r="P96" s="11"/>
      <c r="Q96" s="11"/>
      <c r="R96" s="24">
        <v>0</v>
      </c>
      <c r="S96" s="25">
        <v>2</v>
      </c>
      <c r="T96" s="25">
        <v>1</v>
      </c>
      <c r="U96" s="25">
        <v>9</v>
      </c>
      <c r="V96" s="25">
        <v>6</v>
      </c>
      <c r="W96" s="49">
        <v>6</v>
      </c>
      <c r="X96" s="25">
        <v>1</v>
      </c>
      <c r="Y96" s="25">
        <f t="shared" si="30"/>
        <v>1.02</v>
      </c>
      <c r="Z96" s="25">
        <f t="shared" si="31"/>
        <v>1.0302</v>
      </c>
      <c r="AA96" s="25">
        <f t="shared" si="32"/>
        <v>1.122918</v>
      </c>
      <c r="AB96" s="25">
        <f t="shared" si="33"/>
        <v>1.1902930800000002</v>
      </c>
      <c r="AC96" s="49">
        <f t="shared" si="34"/>
        <v>1.2617106648000003</v>
      </c>
      <c r="AE96" s="1">
        <v>0</v>
      </c>
      <c r="AF96" s="1">
        <v>2</v>
      </c>
      <c r="AG96" s="1">
        <v>2</v>
      </c>
      <c r="AH96" s="1">
        <v>9</v>
      </c>
      <c r="AI96" s="1">
        <v>6</v>
      </c>
      <c r="AJ96" s="1">
        <v>6</v>
      </c>
      <c r="AL96" s="1">
        <f t="shared" si="22"/>
        <v>1</v>
      </c>
    </row>
    <row r="97" spans="1:38" ht="12.75">
      <c r="A97" s="1">
        <v>92</v>
      </c>
      <c r="B97" s="10" t="s">
        <v>308</v>
      </c>
      <c r="C97" s="191">
        <f>VLOOKUP(MID(B97,1,8)-0,'1.8.2022'!$B$9:$G$160,3,FALSE)</f>
        <v>2367.61</v>
      </c>
      <c r="D97" s="191">
        <f>VLOOKUP(MID(B97,1,8)-0,'1.8.2022'!$B$9:$G$160,5,FALSE)</f>
        <v>2345.09</v>
      </c>
      <c r="E97" s="11">
        <f>IF('muut muuttujat'!$G$3=1,C97,KÄYTTÖTAULU!$B$13)</f>
        <v>2367.61</v>
      </c>
      <c r="F97" s="11">
        <f>IF('muut muuttujat'!$G$3=1,D97,KÄYTTÖTAULU!$B$13)</f>
        <v>2345.09</v>
      </c>
      <c r="G97" s="11">
        <f>KÄYTTÖTAULU!$F$6</f>
        <v>0</v>
      </c>
      <c r="H97" s="11">
        <f>KÄYTTÖTAULU!$F$6</f>
        <v>0</v>
      </c>
      <c r="I97" s="11">
        <f t="shared" si="35"/>
        <v>0</v>
      </c>
      <c r="J97" s="11">
        <f t="shared" si="36"/>
        <v>0</v>
      </c>
      <c r="K97" s="1" t="e">
        <f>ROUND(I97/KÄYTTÖTAULU!$I$8,2)</f>
        <v>#DIV/0!</v>
      </c>
      <c r="L97" s="1" t="e">
        <f>ROUND(J97/KÄYTTÖTAULU!$I$8,2)</f>
        <v>#DIV/0!</v>
      </c>
      <c r="M97" s="1" t="e">
        <f t="shared" si="37"/>
        <v>#DIV/0!</v>
      </c>
      <c r="N97" s="1" t="e">
        <f t="shared" si="38"/>
        <v>#DIV/0!</v>
      </c>
      <c r="O97" s="11"/>
      <c r="P97" s="11"/>
      <c r="Q97" s="11"/>
      <c r="R97" s="24">
        <v>0</v>
      </c>
      <c r="S97" s="25">
        <v>2</v>
      </c>
      <c r="T97" s="25">
        <v>1</v>
      </c>
      <c r="U97" s="25">
        <v>9</v>
      </c>
      <c r="V97" s="25">
        <v>6</v>
      </c>
      <c r="W97" s="49">
        <v>6</v>
      </c>
      <c r="X97" s="25">
        <v>1</v>
      </c>
      <c r="Y97" s="25">
        <f t="shared" si="30"/>
        <v>1.02</v>
      </c>
      <c r="Z97" s="25">
        <f t="shared" si="31"/>
        <v>1.0302</v>
      </c>
      <c r="AA97" s="25">
        <f t="shared" si="32"/>
        <v>1.122918</v>
      </c>
      <c r="AB97" s="25">
        <f t="shared" si="33"/>
        <v>1.1902930800000002</v>
      </c>
      <c r="AC97" s="49">
        <f t="shared" si="34"/>
        <v>1.2617106648000003</v>
      </c>
      <c r="AE97" s="1">
        <v>0</v>
      </c>
      <c r="AF97" s="1">
        <v>2</v>
      </c>
      <c r="AG97" s="1">
        <v>2</v>
      </c>
      <c r="AH97" s="1">
        <v>9</v>
      </c>
      <c r="AI97" s="1">
        <v>6</v>
      </c>
      <c r="AJ97" s="1">
        <v>6</v>
      </c>
      <c r="AL97" s="1">
        <f t="shared" si="22"/>
        <v>1</v>
      </c>
    </row>
    <row r="98" spans="1:38" ht="12.75">
      <c r="A98" s="1">
        <v>93</v>
      </c>
      <c r="B98" s="10" t="s">
        <v>309</v>
      </c>
      <c r="C98" s="191">
        <f>VLOOKUP(MID(B98,1,8)-0,'1.8.2022'!$B$9:$G$160,3,FALSE)</f>
        <v>2701.96</v>
      </c>
      <c r="D98" s="191">
        <f>VLOOKUP(MID(B98,1,8)-0,'1.8.2022'!$B$9:$G$160,5,FALSE)</f>
        <v>2676.25</v>
      </c>
      <c r="E98" s="11">
        <f>IF('muut muuttujat'!$G$3=1,C98,KÄYTTÖTAULU!$B$13)</f>
        <v>2701.96</v>
      </c>
      <c r="F98" s="11">
        <f>IF('muut muuttujat'!$G$3=1,D98,KÄYTTÖTAULU!$B$13)</f>
        <v>2676.25</v>
      </c>
      <c r="G98" s="11">
        <f>KÄYTTÖTAULU!$F$6</f>
        <v>0</v>
      </c>
      <c r="H98" s="11">
        <f>KÄYTTÖTAULU!$F$6</f>
        <v>0</v>
      </c>
      <c r="I98" s="11">
        <f t="shared" si="35"/>
        <v>0</v>
      </c>
      <c r="J98" s="11">
        <f t="shared" si="36"/>
        <v>0</v>
      </c>
      <c r="K98" s="1" t="e">
        <f>ROUND(I98/KÄYTTÖTAULU!$I$8,2)</f>
        <v>#DIV/0!</v>
      </c>
      <c r="L98" s="1" t="e">
        <f>ROUND(J98/KÄYTTÖTAULU!$I$8,2)</f>
        <v>#DIV/0!</v>
      </c>
      <c r="M98" s="1" t="e">
        <f t="shared" si="37"/>
        <v>#DIV/0!</v>
      </c>
      <c r="N98" s="1" t="e">
        <f t="shared" si="38"/>
        <v>#DIV/0!</v>
      </c>
      <c r="O98" s="11"/>
      <c r="P98" s="11"/>
      <c r="Q98" s="11"/>
      <c r="R98" s="24">
        <v>0</v>
      </c>
      <c r="S98" s="25">
        <v>2</v>
      </c>
      <c r="T98" s="25">
        <v>1</v>
      </c>
      <c r="U98" s="25">
        <v>9</v>
      </c>
      <c r="V98" s="25">
        <v>6</v>
      </c>
      <c r="W98" s="49">
        <v>6</v>
      </c>
      <c r="X98" s="25">
        <v>1</v>
      </c>
      <c r="Y98" s="25">
        <f t="shared" si="30"/>
        <v>1.02</v>
      </c>
      <c r="Z98" s="25">
        <f t="shared" si="31"/>
        <v>1.0302</v>
      </c>
      <c r="AA98" s="25">
        <f t="shared" si="32"/>
        <v>1.122918</v>
      </c>
      <c r="AB98" s="25">
        <f t="shared" si="33"/>
        <v>1.1902930800000002</v>
      </c>
      <c r="AC98" s="49">
        <f t="shared" si="34"/>
        <v>1.2617106648000003</v>
      </c>
      <c r="AE98" s="1">
        <v>0</v>
      </c>
      <c r="AF98" s="1">
        <v>2</v>
      </c>
      <c r="AG98" s="1">
        <v>2</v>
      </c>
      <c r="AH98" s="1">
        <v>9</v>
      </c>
      <c r="AI98" s="1">
        <v>6</v>
      </c>
      <c r="AJ98" s="1">
        <v>6</v>
      </c>
      <c r="AL98" s="1">
        <f t="shared" si="22"/>
        <v>1</v>
      </c>
    </row>
    <row r="99" spans="1:38" ht="12.75">
      <c r="A99" s="1">
        <v>94</v>
      </c>
      <c r="B99" s="10" t="s">
        <v>310</v>
      </c>
      <c r="C99" s="191">
        <f>VLOOKUP(MID(B99,1,8)-0,'1.8.2022'!$B$9:$G$160,3,FALSE)</f>
        <v>2475.32</v>
      </c>
      <c r="D99" s="191">
        <f>VLOOKUP(MID(B99,1,8)-0,'1.8.2022'!$B$9:$G$160,5,FALSE)</f>
        <v>2451.73</v>
      </c>
      <c r="E99" s="11">
        <f>IF('muut muuttujat'!$G$3=1,C99,KÄYTTÖTAULU!$B$13)</f>
        <v>2475.32</v>
      </c>
      <c r="F99" s="11">
        <f>IF('muut muuttujat'!$G$3=1,D99,KÄYTTÖTAULU!$B$13)</f>
        <v>2451.73</v>
      </c>
      <c r="G99" s="11">
        <f>KÄYTTÖTAULU!$F$6</f>
        <v>0</v>
      </c>
      <c r="H99" s="11">
        <f>KÄYTTÖTAULU!$F$6</f>
        <v>0</v>
      </c>
      <c r="I99" s="11">
        <f t="shared" si="35"/>
        <v>0</v>
      </c>
      <c r="J99" s="11">
        <f t="shared" si="36"/>
        <v>0</v>
      </c>
      <c r="K99" s="1" t="e">
        <f>ROUND(I99/KÄYTTÖTAULU!$I$8,2)</f>
        <v>#DIV/0!</v>
      </c>
      <c r="L99" s="1" t="e">
        <f>ROUND(J99/KÄYTTÖTAULU!$I$8,2)</f>
        <v>#DIV/0!</v>
      </c>
      <c r="M99" s="1" t="e">
        <f t="shared" si="37"/>
        <v>#DIV/0!</v>
      </c>
      <c r="N99" s="1" t="e">
        <f t="shared" si="38"/>
        <v>#DIV/0!</v>
      </c>
      <c r="O99" s="11"/>
      <c r="P99" s="11"/>
      <c r="Q99" s="11"/>
      <c r="R99" s="24">
        <v>0</v>
      </c>
      <c r="S99" s="25">
        <v>2</v>
      </c>
      <c r="T99" s="25">
        <v>1</v>
      </c>
      <c r="U99" s="25">
        <v>9</v>
      </c>
      <c r="V99" s="25">
        <v>6</v>
      </c>
      <c r="W99" s="49">
        <v>6</v>
      </c>
      <c r="X99" s="25">
        <v>1</v>
      </c>
      <c r="Y99" s="25">
        <f t="shared" si="30"/>
        <v>1.02</v>
      </c>
      <c r="Z99" s="25">
        <f t="shared" si="31"/>
        <v>1.0302</v>
      </c>
      <c r="AA99" s="25">
        <f t="shared" si="32"/>
        <v>1.122918</v>
      </c>
      <c r="AB99" s="25">
        <f t="shared" si="33"/>
        <v>1.1902930800000002</v>
      </c>
      <c r="AC99" s="49">
        <f t="shared" si="34"/>
        <v>1.2617106648000003</v>
      </c>
      <c r="AE99" s="1">
        <v>0</v>
      </c>
      <c r="AF99" s="1">
        <v>2</v>
      </c>
      <c r="AG99" s="1">
        <v>2</v>
      </c>
      <c r="AH99" s="1">
        <v>9</v>
      </c>
      <c r="AI99" s="1">
        <v>6</v>
      </c>
      <c r="AJ99" s="1">
        <v>6</v>
      </c>
      <c r="AL99" s="1">
        <f t="shared" si="22"/>
        <v>1</v>
      </c>
    </row>
    <row r="100" spans="1:38" ht="12.75">
      <c r="A100" s="1">
        <v>95</v>
      </c>
      <c r="B100" s="10" t="s">
        <v>311</v>
      </c>
      <c r="C100" s="191">
        <f>VLOOKUP(MID(B100,1,8)-0,'1.8.2022'!$B$9:$G$160,3,FALSE)</f>
        <v>2426.01</v>
      </c>
      <c r="D100" s="191">
        <f>VLOOKUP(MID(B100,1,8)-0,'1.8.2022'!$B$9:$G$160,5,FALSE)</f>
        <v>2402.9</v>
      </c>
      <c r="E100" s="11">
        <f>IF('muut muuttujat'!$G$3=1,C100,KÄYTTÖTAULU!$B$13)</f>
        <v>2426.01</v>
      </c>
      <c r="F100" s="11">
        <f>IF('muut muuttujat'!$G$3=1,D100,KÄYTTÖTAULU!$B$13)</f>
        <v>2402.9</v>
      </c>
      <c r="G100" s="11">
        <f>KÄYTTÖTAULU!$F$6</f>
        <v>0</v>
      </c>
      <c r="H100" s="11">
        <f>KÄYTTÖTAULU!$F$6</f>
        <v>0</v>
      </c>
      <c r="I100" s="11">
        <f t="shared" si="35"/>
        <v>0</v>
      </c>
      <c r="J100" s="11">
        <f t="shared" si="36"/>
        <v>0</v>
      </c>
      <c r="K100" s="1" t="e">
        <f>ROUND(I100/KÄYTTÖTAULU!$I$8,2)</f>
        <v>#DIV/0!</v>
      </c>
      <c r="L100" s="1" t="e">
        <f>ROUND(J100/KÄYTTÖTAULU!$I$8,2)</f>
        <v>#DIV/0!</v>
      </c>
      <c r="M100" s="1" t="e">
        <f t="shared" si="37"/>
        <v>#DIV/0!</v>
      </c>
      <c r="N100" s="1" t="e">
        <f t="shared" si="38"/>
        <v>#DIV/0!</v>
      </c>
      <c r="O100" s="11"/>
      <c r="P100" s="11"/>
      <c r="Q100" s="11"/>
      <c r="R100" s="24">
        <v>0</v>
      </c>
      <c r="S100" s="25">
        <v>2</v>
      </c>
      <c r="T100" s="25">
        <v>1</v>
      </c>
      <c r="U100" s="25">
        <v>9</v>
      </c>
      <c r="V100" s="25">
        <v>6</v>
      </c>
      <c r="W100" s="49">
        <v>6</v>
      </c>
      <c r="X100" s="25">
        <v>1</v>
      </c>
      <c r="Y100" s="25">
        <f t="shared" si="30"/>
        <v>1.02</v>
      </c>
      <c r="Z100" s="25">
        <f t="shared" si="31"/>
        <v>1.0302</v>
      </c>
      <c r="AA100" s="25">
        <f t="shared" si="32"/>
        <v>1.122918</v>
      </c>
      <c r="AB100" s="25">
        <f t="shared" si="33"/>
        <v>1.1902930800000002</v>
      </c>
      <c r="AC100" s="49">
        <f t="shared" si="34"/>
        <v>1.2617106648000003</v>
      </c>
      <c r="AE100" s="1">
        <v>0</v>
      </c>
      <c r="AF100" s="1">
        <v>2</v>
      </c>
      <c r="AG100" s="1">
        <v>2</v>
      </c>
      <c r="AH100" s="1">
        <v>9</v>
      </c>
      <c r="AI100" s="1">
        <v>6</v>
      </c>
      <c r="AJ100" s="1">
        <v>6</v>
      </c>
      <c r="AL100" s="1">
        <f t="shared" si="22"/>
        <v>1</v>
      </c>
    </row>
    <row r="101" spans="1:38" ht="12.75">
      <c r="A101" s="1">
        <v>96</v>
      </c>
      <c r="B101" s="228" t="s">
        <v>312</v>
      </c>
      <c r="C101" s="191">
        <f>VLOOKUP(MID(B101,1,8)-0,'1.8.2022'!$B$9:$G$160,3,FALSE)</f>
        <v>2259.1</v>
      </c>
      <c r="D101" s="191">
        <f>VLOOKUP(MID(B101,1,8)-0,'1.8.2022'!$B$9:$G$160,5,FALSE)</f>
        <v>2238.06</v>
      </c>
      <c r="E101" s="11">
        <f>IF('muut muuttujat'!$G$3=1,C101,KÄYTTÖTAULU!$B$13)</f>
        <v>2259.1</v>
      </c>
      <c r="F101" s="11">
        <f>IF('muut muuttujat'!$G$3=1,D101,KÄYTTÖTAULU!$B$13)</f>
        <v>2238.06</v>
      </c>
      <c r="G101" s="11">
        <f>KÄYTTÖTAULU!$F$6</f>
        <v>0</v>
      </c>
      <c r="H101" s="11">
        <f>KÄYTTÖTAULU!$F$6</f>
        <v>0</v>
      </c>
      <c r="I101" s="11">
        <f t="shared" si="35"/>
        <v>0</v>
      </c>
      <c r="J101" s="11">
        <f t="shared" si="36"/>
        <v>0</v>
      </c>
      <c r="K101" s="1" t="e">
        <f>ROUND(I101/KÄYTTÖTAULU!$I$8,2)</f>
        <v>#DIV/0!</v>
      </c>
      <c r="L101" s="1" t="e">
        <f>ROUND(J101/KÄYTTÖTAULU!$I$8,2)</f>
        <v>#DIV/0!</v>
      </c>
      <c r="M101" s="1" t="e">
        <f t="shared" si="37"/>
        <v>#DIV/0!</v>
      </c>
      <c r="N101" s="1" t="e">
        <f t="shared" si="38"/>
        <v>#DIV/0!</v>
      </c>
      <c r="O101" s="11"/>
      <c r="P101" s="11"/>
      <c r="Q101" s="11"/>
      <c r="R101" s="24">
        <v>0</v>
      </c>
      <c r="S101" s="25">
        <v>2</v>
      </c>
      <c r="T101" s="25">
        <v>1</v>
      </c>
      <c r="U101" s="25">
        <v>9</v>
      </c>
      <c r="V101" s="25">
        <v>6</v>
      </c>
      <c r="W101" s="49">
        <v>6</v>
      </c>
      <c r="X101" s="25">
        <v>1</v>
      </c>
      <c r="Y101" s="25">
        <f t="shared" si="30"/>
        <v>1.02</v>
      </c>
      <c r="Z101" s="25">
        <f t="shared" si="31"/>
        <v>1.0302</v>
      </c>
      <c r="AA101" s="25">
        <f t="shared" si="32"/>
        <v>1.122918</v>
      </c>
      <c r="AB101" s="25">
        <f t="shared" si="33"/>
        <v>1.1902930800000002</v>
      </c>
      <c r="AC101" s="49">
        <f t="shared" si="34"/>
        <v>1.2617106648000003</v>
      </c>
      <c r="AE101" s="1">
        <v>0</v>
      </c>
      <c r="AF101" s="1">
        <v>2</v>
      </c>
      <c r="AG101" s="1">
        <v>2</v>
      </c>
      <c r="AH101" s="1">
        <v>9</v>
      </c>
      <c r="AI101" s="1">
        <v>6</v>
      </c>
      <c r="AJ101" s="1">
        <v>6</v>
      </c>
      <c r="AL101" s="1">
        <f t="shared" si="22"/>
        <v>1</v>
      </c>
    </row>
    <row r="102" spans="1:38" ht="12.75">
      <c r="A102" s="1">
        <v>97</v>
      </c>
      <c r="B102" s="228" t="s">
        <v>313</v>
      </c>
      <c r="C102" s="191">
        <f>VLOOKUP(MID(B102,1,8)-0,'1.8.2022'!$B$9:$G$160,3,FALSE)</f>
        <v>29.25</v>
      </c>
      <c r="D102" s="191"/>
      <c r="E102" s="11"/>
      <c r="F102" s="11"/>
      <c r="G102" s="11"/>
      <c r="H102" s="11"/>
      <c r="I102" s="11"/>
      <c r="J102" s="11"/>
      <c r="O102" s="11"/>
      <c r="P102" s="11"/>
      <c r="Q102" s="192">
        <f>'1.8.2022'!D144</f>
        <v>29.25</v>
      </c>
      <c r="R102" s="24"/>
      <c r="S102" s="25"/>
      <c r="T102" s="25"/>
      <c r="U102" s="25"/>
      <c r="V102" s="25"/>
      <c r="W102" s="49"/>
      <c r="X102" s="25"/>
      <c r="Y102" s="25"/>
      <c r="Z102" s="25"/>
      <c r="AA102" s="25"/>
      <c r="AB102" s="25"/>
      <c r="AC102" s="49"/>
      <c r="AL102" s="1">
        <f t="shared" si="22"/>
        <v>0</v>
      </c>
    </row>
    <row r="103" spans="1:38" ht="12.75">
      <c r="A103" s="1">
        <v>98</v>
      </c>
      <c r="B103" s="228" t="s">
        <v>314</v>
      </c>
      <c r="C103" s="191">
        <f>VLOOKUP(MID(B103,1,8)-0,'1.8.2022'!$B$9:$G$160,3,FALSE)</f>
        <v>28.7</v>
      </c>
      <c r="D103" s="191"/>
      <c r="E103" s="11"/>
      <c r="F103" s="11"/>
      <c r="G103" s="11"/>
      <c r="H103" s="11"/>
      <c r="I103" s="11"/>
      <c r="J103" s="11"/>
      <c r="O103" s="11"/>
      <c r="P103" s="11"/>
      <c r="Q103" s="192">
        <f>'1.8.2022'!D145</f>
        <v>28.7</v>
      </c>
      <c r="R103" s="24"/>
      <c r="S103" s="25"/>
      <c r="T103" s="25"/>
      <c r="U103" s="25"/>
      <c r="V103" s="25"/>
      <c r="W103" s="49"/>
      <c r="X103" s="25"/>
      <c r="Y103" s="25"/>
      <c r="Z103" s="25"/>
      <c r="AA103" s="25"/>
      <c r="AB103" s="25"/>
      <c r="AC103" s="49"/>
      <c r="AL103" s="1">
        <f t="shared" si="22"/>
        <v>0</v>
      </c>
    </row>
    <row r="104" spans="1:38" ht="12.75">
      <c r="A104" s="1">
        <v>99</v>
      </c>
      <c r="B104" s="10" t="s">
        <v>315</v>
      </c>
      <c r="C104" s="191">
        <f>VLOOKUP(MID(B104,1,8)-0,'1.8.2022'!$B$9:$G$160,3,FALSE)</f>
        <v>26.89</v>
      </c>
      <c r="D104" s="191"/>
      <c r="E104" s="11"/>
      <c r="F104" s="11"/>
      <c r="G104" s="11"/>
      <c r="H104" s="11"/>
      <c r="I104" s="11"/>
      <c r="J104" s="11"/>
      <c r="O104" s="11"/>
      <c r="P104" s="11"/>
      <c r="Q104" s="192">
        <f>'1.8.2022'!D146</f>
        <v>26.89</v>
      </c>
      <c r="R104" s="24"/>
      <c r="S104" s="25"/>
      <c r="T104" s="25"/>
      <c r="U104" s="25"/>
      <c r="V104" s="25"/>
      <c r="W104" s="49"/>
      <c r="X104" s="25"/>
      <c r="Y104" s="25"/>
      <c r="Z104" s="25"/>
      <c r="AA104" s="25"/>
      <c r="AB104" s="25"/>
      <c r="AC104" s="49"/>
      <c r="AL104" s="1">
        <f t="shared" si="22"/>
        <v>0</v>
      </c>
    </row>
    <row r="105" spans="1:38" ht="12.75">
      <c r="A105" s="1">
        <v>100</v>
      </c>
      <c r="B105" s="10" t="s">
        <v>316</v>
      </c>
      <c r="C105" s="191">
        <f>VLOOKUP(MID(B105,1,8)-0,'1.8.2022'!$B$9:$G$160,3,FALSE)</f>
        <v>3358.41</v>
      </c>
      <c r="D105" s="191">
        <f>VLOOKUP(MID(B105,1,8)-0,'1.8.2022'!$B$9:$G$160,5,FALSE)</f>
        <v>3332.74</v>
      </c>
      <c r="E105" s="11">
        <f>IF('muut muuttujat'!$G$3=1,C105,KÄYTTÖTAULU!$B$13)</f>
        <v>3358.41</v>
      </c>
      <c r="F105" s="11">
        <f>IF('muut muuttujat'!$G$3=1,D105,KÄYTTÖTAULU!$B$13)</f>
        <v>3332.74</v>
      </c>
      <c r="G105" s="11">
        <f>KÄYTTÖTAULU!$F$6</f>
        <v>0</v>
      </c>
      <c r="H105" s="11">
        <f>KÄYTTÖTAULU!$F$6</f>
        <v>0</v>
      </c>
      <c r="I105" s="11"/>
      <c r="J105" s="11"/>
      <c r="O105" s="11"/>
      <c r="P105" s="11"/>
      <c r="Q105" s="11"/>
      <c r="R105" s="24">
        <v>0</v>
      </c>
      <c r="S105" s="25">
        <v>0</v>
      </c>
      <c r="T105" s="25">
        <v>0</v>
      </c>
      <c r="U105" s="25">
        <v>5</v>
      </c>
      <c r="V105" s="25">
        <v>4</v>
      </c>
      <c r="W105" s="49">
        <v>6</v>
      </c>
      <c r="X105" s="25">
        <v>1</v>
      </c>
      <c r="Y105" s="25">
        <f>1+S105/100</f>
        <v>1</v>
      </c>
      <c r="Z105" s="25">
        <f aca="true" t="shared" si="39" ref="Z105:AC108">(1+T105/100)*Y105</f>
        <v>1</v>
      </c>
      <c r="AA105" s="25">
        <f t="shared" si="39"/>
        <v>1.05</v>
      </c>
      <c r="AB105" s="25">
        <f t="shared" si="39"/>
        <v>1.092</v>
      </c>
      <c r="AC105" s="49">
        <f t="shared" si="39"/>
        <v>1.15752</v>
      </c>
      <c r="AE105" s="1">
        <v>0</v>
      </c>
      <c r="AF105" s="1">
        <v>0</v>
      </c>
      <c r="AG105" s="1">
        <v>0</v>
      </c>
      <c r="AH105" s="1">
        <v>5</v>
      </c>
      <c r="AI105" s="1">
        <v>4</v>
      </c>
      <c r="AJ105" s="1">
        <v>6</v>
      </c>
      <c r="AL105" s="1">
        <f t="shared" si="22"/>
        <v>0</v>
      </c>
    </row>
    <row r="106" spans="1:38" ht="12.75">
      <c r="A106" s="1">
        <v>101</v>
      </c>
      <c r="B106" s="10" t="s">
        <v>317</v>
      </c>
      <c r="C106" s="191">
        <f>VLOOKUP(MID(B106,1,8)-0,'1.8.2022'!$B$9:$G$160,3,FALSE)</f>
        <v>3358.41</v>
      </c>
      <c r="D106" s="191">
        <f>VLOOKUP(MID(B106,1,8)-0,'1.8.2022'!$B$9:$G$160,5,FALSE)</f>
        <v>3332.74</v>
      </c>
      <c r="E106" s="11">
        <f>IF('muut muuttujat'!$G$3=1,C106,KÄYTTÖTAULU!$B$13)</f>
        <v>3358.41</v>
      </c>
      <c r="F106" s="11">
        <f>IF('muut muuttujat'!$G$3=1,D106,KÄYTTÖTAULU!$B$13)</f>
        <v>3332.74</v>
      </c>
      <c r="G106" s="11">
        <f>KÄYTTÖTAULU!$F$6</f>
        <v>0</v>
      </c>
      <c r="H106" s="11">
        <f>KÄYTTÖTAULU!$F$6</f>
        <v>0</v>
      </c>
      <c r="I106" s="11"/>
      <c r="J106" s="11"/>
      <c r="O106" s="11"/>
      <c r="P106" s="11"/>
      <c r="Q106" s="11"/>
      <c r="R106" s="24">
        <v>0</v>
      </c>
      <c r="S106" s="25">
        <v>0</v>
      </c>
      <c r="T106" s="25">
        <v>0</v>
      </c>
      <c r="U106" s="25">
        <v>5</v>
      </c>
      <c r="V106" s="25">
        <v>4</v>
      </c>
      <c r="W106" s="49">
        <v>6</v>
      </c>
      <c r="X106" s="25">
        <v>1</v>
      </c>
      <c r="Y106" s="25">
        <f>1+S106/100</f>
        <v>1</v>
      </c>
      <c r="Z106" s="25">
        <f t="shared" si="39"/>
        <v>1</v>
      </c>
      <c r="AA106" s="25">
        <f t="shared" si="39"/>
        <v>1.05</v>
      </c>
      <c r="AB106" s="25">
        <f t="shared" si="39"/>
        <v>1.092</v>
      </c>
      <c r="AC106" s="49">
        <f t="shared" si="39"/>
        <v>1.15752</v>
      </c>
      <c r="AE106" s="1">
        <v>0</v>
      </c>
      <c r="AF106" s="1">
        <v>0</v>
      </c>
      <c r="AG106" s="1">
        <v>0</v>
      </c>
      <c r="AH106" s="1">
        <v>5</v>
      </c>
      <c r="AI106" s="1">
        <v>4</v>
      </c>
      <c r="AJ106" s="1">
        <v>6</v>
      </c>
      <c r="AL106" s="1">
        <f t="shared" si="22"/>
        <v>0</v>
      </c>
    </row>
    <row r="107" spans="1:38" ht="12.75">
      <c r="A107" s="1">
        <v>102</v>
      </c>
      <c r="B107" s="10" t="s">
        <v>318</v>
      </c>
      <c r="C107" s="191">
        <f>VLOOKUP(MID(B107,1,8)-0,'1.8.2022'!$B$9:$G$160,3,FALSE)</f>
        <v>2303.68</v>
      </c>
      <c r="D107" s="191">
        <f>VLOOKUP(MID(B107,1,8)-0,'1.8.2022'!$B$9:$G$160,5,FALSE)</f>
        <v>2283.35</v>
      </c>
      <c r="E107" s="11">
        <f>IF('muut muuttujat'!$G$3=1,C107,KÄYTTÖTAULU!$B$13)</f>
        <v>2303.68</v>
      </c>
      <c r="F107" s="11">
        <f>IF('muut muuttujat'!$G$3=1,D107,KÄYTTÖTAULU!$B$13)</f>
        <v>2283.35</v>
      </c>
      <c r="G107" s="11">
        <f>KÄYTTÖTAULU!$F$6</f>
        <v>0</v>
      </c>
      <c r="H107" s="11">
        <f>KÄYTTÖTAULU!$F$6</f>
        <v>0</v>
      </c>
      <c r="I107" s="11">
        <f>G107*0.83</f>
        <v>0</v>
      </c>
      <c r="J107" s="11">
        <f>H107*0.83</f>
        <v>0</v>
      </c>
      <c r="O107" s="11"/>
      <c r="P107" s="11"/>
      <c r="Q107" s="11"/>
      <c r="R107" s="24">
        <v>0</v>
      </c>
      <c r="S107" s="25">
        <v>2</v>
      </c>
      <c r="T107" s="25">
        <v>1</v>
      </c>
      <c r="U107" s="25">
        <v>5</v>
      </c>
      <c r="V107" s="25">
        <v>10</v>
      </c>
      <c r="W107" s="49">
        <v>10</v>
      </c>
      <c r="X107" s="25">
        <v>1</v>
      </c>
      <c r="Y107" s="25">
        <f>1+S107/100</f>
        <v>1.02</v>
      </c>
      <c r="Z107" s="25">
        <f t="shared" si="39"/>
        <v>1.0302</v>
      </c>
      <c r="AA107" s="25">
        <f t="shared" si="39"/>
        <v>1.08171</v>
      </c>
      <c r="AB107" s="25">
        <f t="shared" si="39"/>
        <v>1.189881</v>
      </c>
      <c r="AC107" s="49">
        <f t="shared" si="39"/>
        <v>1.3088691000000001</v>
      </c>
      <c r="AE107" s="1">
        <v>0</v>
      </c>
      <c r="AF107" s="1">
        <v>2</v>
      </c>
      <c r="AG107" s="1">
        <v>2</v>
      </c>
      <c r="AH107" s="1">
        <v>5</v>
      </c>
      <c r="AI107" s="1">
        <v>10</v>
      </c>
      <c r="AJ107" s="1">
        <v>10</v>
      </c>
      <c r="AL107" s="1">
        <f t="shared" si="22"/>
        <v>1</v>
      </c>
    </row>
    <row r="108" spans="1:38" ht="12.75">
      <c r="A108" s="1">
        <v>103</v>
      </c>
      <c r="B108" s="10" t="s">
        <v>319</v>
      </c>
      <c r="C108" s="191">
        <f>VLOOKUP(MID(B108,1,8)-0,'1.8.2022'!$B$9:$G$160,3,FALSE)</f>
        <v>2390.53</v>
      </c>
      <c r="D108" s="191">
        <f>VLOOKUP(MID(B108,1,8)-0,'1.8.2022'!$B$9:$G$160,5,FALSE)</f>
        <v>2368.82</v>
      </c>
      <c r="E108" s="11">
        <f>IF('muut muuttujat'!$G$3=1,C108,KÄYTTÖTAULU!$B$13)</f>
        <v>2390.53</v>
      </c>
      <c r="F108" s="11">
        <f>IF('muut muuttujat'!$G$3=1,D108,KÄYTTÖTAULU!$B$13)</f>
        <v>2368.82</v>
      </c>
      <c r="G108" s="11">
        <f>KÄYTTÖTAULU!$F$6</f>
        <v>0</v>
      </c>
      <c r="H108" s="11">
        <f>KÄYTTÖTAULU!$F$6</f>
        <v>0</v>
      </c>
      <c r="I108" s="11">
        <f>G108*0.83</f>
        <v>0</v>
      </c>
      <c r="J108" s="11">
        <f>H108*0.83</f>
        <v>0</v>
      </c>
      <c r="O108" s="11"/>
      <c r="P108" s="11"/>
      <c r="Q108" s="11"/>
      <c r="R108" s="24">
        <v>0</v>
      </c>
      <c r="S108" s="25">
        <v>2</v>
      </c>
      <c r="T108" s="25">
        <v>1</v>
      </c>
      <c r="U108" s="25">
        <v>5</v>
      </c>
      <c r="V108" s="25">
        <v>10</v>
      </c>
      <c r="W108" s="49">
        <v>10</v>
      </c>
      <c r="X108" s="25">
        <v>1</v>
      </c>
      <c r="Y108" s="25">
        <f>1+S108/100</f>
        <v>1.02</v>
      </c>
      <c r="Z108" s="25">
        <f t="shared" si="39"/>
        <v>1.0302</v>
      </c>
      <c r="AA108" s="25">
        <f t="shared" si="39"/>
        <v>1.08171</v>
      </c>
      <c r="AB108" s="25">
        <f t="shared" si="39"/>
        <v>1.189881</v>
      </c>
      <c r="AC108" s="49">
        <f t="shared" si="39"/>
        <v>1.3088691000000001</v>
      </c>
      <c r="AE108" s="1">
        <v>0</v>
      </c>
      <c r="AF108" s="1">
        <v>2</v>
      </c>
      <c r="AG108" s="1">
        <v>2</v>
      </c>
      <c r="AH108" s="1">
        <v>5</v>
      </c>
      <c r="AI108" s="1">
        <v>10</v>
      </c>
      <c r="AJ108" s="1">
        <v>10</v>
      </c>
      <c r="AL108" s="1">
        <f t="shared" si="22"/>
        <v>1</v>
      </c>
    </row>
    <row r="109" spans="1:38" ht="12.75">
      <c r="A109" s="1">
        <v>104</v>
      </c>
      <c r="B109" s="10" t="s">
        <v>320</v>
      </c>
      <c r="C109" s="191">
        <f>VLOOKUP(MID(B109,1,8)-0,'1.8.2022'!$B$9:$G$160,3,FALSE)</f>
        <v>25.71</v>
      </c>
      <c r="D109" s="191"/>
      <c r="E109" s="11"/>
      <c r="F109" s="11"/>
      <c r="G109" s="11"/>
      <c r="H109" s="11"/>
      <c r="I109" s="11"/>
      <c r="J109" s="11"/>
      <c r="O109" s="11"/>
      <c r="P109" s="11"/>
      <c r="Q109" s="191">
        <f>'1.8.2022'!D150</f>
        <v>25.71</v>
      </c>
      <c r="R109" s="24"/>
      <c r="S109" s="25"/>
      <c r="T109" s="25"/>
      <c r="U109" s="25"/>
      <c r="V109" s="25"/>
      <c r="W109" s="49"/>
      <c r="X109" s="25"/>
      <c r="Y109" s="25"/>
      <c r="Z109" s="25"/>
      <c r="AA109" s="25"/>
      <c r="AB109" s="25"/>
      <c r="AC109" s="49"/>
      <c r="AL109" s="1">
        <f t="shared" si="22"/>
        <v>0</v>
      </c>
    </row>
    <row r="110" spans="1:38" ht="12.75">
      <c r="A110" s="1">
        <v>105</v>
      </c>
      <c r="B110" s="10" t="s">
        <v>321</v>
      </c>
      <c r="C110" s="191">
        <f>VLOOKUP(MID(B110,1,8)-0,'1.8.2022'!$B$9:$G$160,3,FALSE)</f>
        <v>3810.08</v>
      </c>
      <c r="D110" s="191">
        <f>VLOOKUP(MID(B110,1,8)-0,'1.8.2022'!$B$9:$G$160,5,FALSE)</f>
        <v>3773.61</v>
      </c>
      <c r="E110" s="11">
        <f>IF('muut muuttujat'!$G$3=1,C110,KÄYTTÖTAULU!$B$13)</f>
        <v>3810.08</v>
      </c>
      <c r="F110" s="11">
        <f>IF('muut muuttujat'!$G$3=1,D110,KÄYTTÖTAULU!$B$13)</f>
        <v>3773.61</v>
      </c>
      <c r="G110" s="11">
        <f>KÄYTTÖTAULU!$F$6</f>
        <v>0</v>
      </c>
      <c r="H110" s="11">
        <f>KÄYTTÖTAULU!$F$6</f>
        <v>0</v>
      </c>
      <c r="I110" s="11"/>
      <c r="J110" s="11"/>
      <c r="O110" s="11"/>
      <c r="P110" s="11"/>
      <c r="Q110" s="11"/>
      <c r="R110" s="24">
        <v>0</v>
      </c>
      <c r="S110" s="25">
        <v>0</v>
      </c>
      <c r="T110" s="25">
        <v>0</v>
      </c>
      <c r="U110" s="25">
        <v>5</v>
      </c>
      <c r="V110" s="25">
        <v>4</v>
      </c>
      <c r="W110" s="49">
        <v>6</v>
      </c>
      <c r="X110" s="25">
        <v>1</v>
      </c>
      <c r="Y110" s="25">
        <f t="shared" si="30"/>
        <v>1</v>
      </c>
      <c r="Z110" s="25">
        <f t="shared" si="31"/>
        <v>1</v>
      </c>
      <c r="AA110" s="25">
        <f t="shared" si="32"/>
        <v>1.05</v>
      </c>
      <c r="AB110" s="25">
        <f t="shared" si="33"/>
        <v>1.092</v>
      </c>
      <c r="AC110" s="49">
        <f t="shared" si="34"/>
        <v>1.15752</v>
      </c>
      <c r="AE110" s="1">
        <v>0</v>
      </c>
      <c r="AF110" s="1">
        <v>0</v>
      </c>
      <c r="AG110" s="1">
        <v>0</v>
      </c>
      <c r="AH110" s="1">
        <v>5</v>
      </c>
      <c r="AI110" s="1">
        <v>4</v>
      </c>
      <c r="AJ110" s="1">
        <v>6</v>
      </c>
      <c r="AL110" s="1">
        <f t="shared" si="22"/>
        <v>0</v>
      </c>
    </row>
    <row r="111" spans="1:38" ht="12.75">
      <c r="A111" s="1">
        <v>106</v>
      </c>
      <c r="B111" s="10" t="s">
        <v>322</v>
      </c>
      <c r="C111" s="191">
        <f>VLOOKUP(MID(B111,1,8)-0,'1.8.2022'!$B$9:$G$160,3,FALSE)</f>
        <v>3225.69</v>
      </c>
      <c r="D111" s="191">
        <f>VLOOKUP(MID(B111,1,8)-0,'1.8.2022'!$B$9:$G$160,5,FALSE)</f>
        <v>3194.82</v>
      </c>
      <c r="E111" s="11">
        <f>IF('muut muuttujat'!$G$3=1,C111,KÄYTTÖTAULU!$B$13)</f>
        <v>3225.69</v>
      </c>
      <c r="F111" s="11">
        <f>IF('muut muuttujat'!$G$3=1,D111,KÄYTTÖTAULU!$B$13)</f>
        <v>3194.82</v>
      </c>
      <c r="G111" s="11">
        <f>KÄYTTÖTAULU!$F$6</f>
        <v>0</v>
      </c>
      <c r="H111" s="11">
        <f>KÄYTTÖTAULU!$F$6</f>
        <v>0</v>
      </c>
      <c r="I111" s="11"/>
      <c r="J111" s="11"/>
      <c r="O111" s="11"/>
      <c r="P111" s="11"/>
      <c r="Q111" s="11"/>
      <c r="R111" s="24">
        <v>0</v>
      </c>
      <c r="S111" s="25">
        <v>0</v>
      </c>
      <c r="T111" s="25">
        <v>0</v>
      </c>
      <c r="U111" s="25">
        <v>5</v>
      </c>
      <c r="V111" s="25">
        <v>4</v>
      </c>
      <c r="W111" s="49">
        <v>6</v>
      </c>
      <c r="X111" s="25">
        <v>1</v>
      </c>
      <c r="Y111" s="25">
        <f t="shared" si="30"/>
        <v>1</v>
      </c>
      <c r="Z111" s="25">
        <f t="shared" si="31"/>
        <v>1</v>
      </c>
      <c r="AA111" s="25">
        <f t="shared" si="32"/>
        <v>1.05</v>
      </c>
      <c r="AB111" s="25">
        <f t="shared" si="33"/>
        <v>1.092</v>
      </c>
      <c r="AC111" s="49">
        <f t="shared" si="34"/>
        <v>1.15752</v>
      </c>
      <c r="AE111" s="1">
        <v>0</v>
      </c>
      <c r="AF111" s="1">
        <v>0</v>
      </c>
      <c r="AG111" s="1">
        <v>0</v>
      </c>
      <c r="AH111" s="1">
        <v>5</v>
      </c>
      <c r="AI111" s="1">
        <v>4</v>
      </c>
      <c r="AJ111" s="1">
        <v>6</v>
      </c>
      <c r="AL111" s="1">
        <f t="shared" si="22"/>
        <v>0</v>
      </c>
    </row>
    <row r="112" spans="1:38" ht="12.75">
      <c r="A112" s="1">
        <v>107</v>
      </c>
      <c r="B112" s="10" t="s">
        <v>323</v>
      </c>
      <c r="C112" s="191">
        <f>VLOOKUP(MID(B112,1,8)-0,'1.8.2022'!$B$9:$G$160,3,FALSE)</f>
        <v>3005.27</v>
      </c>
      <c r="D112" s="191"/>
      <c r="E112" s="11">
        <f>IF('muut muuttujat'!$G$3=1,C112,KÄYTTÖTAULU!$B$13)</f>
        <v>3005.27</v>
      </c>
      <c r="F112" s="11"/>
      <c r="G112" s="11">
        <f>KÄYTTÖTAULU!$F$6</f>
        <v>0</v>
      </c>
      <c r="H112" s="11">
        <f>KÄYTTÖTAULU!$F$6</f>
        <v>0</v>
      </c>
      <c r="I112" s="11"/>
      <c r="J112" s="11"/>
      <c r="O112" s="11"/>
      <c r="P112" s="11"/>
      <c r="Q112" s="11"/>
      <c r="R112" s="24">
        <v>0</v>
      </c>
      <c r="S112" s="25">
        <v>3</v>
      </c>
      <c r="T112" s="25">
        <v>0</v>
      </c>
      <c r="U112" s="25">
        <v>10</v>
      </c>
      <c r="V112" s="25">
        <v>10</v>
      </c>
      <c r="W112" s="49">
        <v>10</v>
      </c>
      <c r="X112" s="25">
        <v>1</v>
      </c>
      <c r="Y112" s="25">
        <f>1+S112/100</f>
        <v>1.03</v>
      </c>
      <c r="Z112" s="25">
        <f aca="true" t="shared" si="40" ref="Z112:AC113">(1+T112/100)*Y112</f>
        <v>1.03</v>
      </c>
      <c r="AA112" s="25">
        <f t="shared" si="40"/>
        <v>1.1330000000000002</v>
      </c>
      <c r="AB112" s="25">
        <f t="shared" si="40"/>
        <v>1.2463000000000004</v>
      </c>
      <c r="AC112" s="49">
        <f t="shared" si="40"/>
        <v>1.3709300000000006</v>
      </c>
      <c r="AE112" s="1">
        <v>0</v>
      </c>
      <c r="AF112" s="1">
        <v>2</v>
      </c>
      <c r="AG112" s="1">
        <v>2</v>
      </c>
      <c r="AH112" s="1">
        <v>10</v>
      </c>
      <c r="AI112" s="1">
        <v>10</v>
      </c>
      <c r="AJ112" s="1">
        <v>10</v>
      </c>
      <c r="AL112" s="1">
        <f t="shared" si="22"/>
        <v>2</v>
      </c>
    </row>
    <row r="113" spans="1:38" ht="12.75">
      <c r="A113" s="1">
        <v>108</v>
      </c>
      <c r="B113" s="10" t="s">
        <v>324</v>
      </c>
      <c r="C113" s="191">
        <f>VLOOKUP(MID(B113,1,8)-0,'1.8.2022'!$B$9:$G$160,3,FALSE)</f>
        <v>2718.1</v>
      </c>
      <c r="D113" s="191"/>
      <c r="E113" s="11">
        <f>IF('muut muuttujat'!$G$3=1,C113,KÄYTTÖTAULU!$B$13)</f>
        <v>2718.1</v>
      </c>
      <c r="F113" s="11"/>
      <c r="G113" s="11">
        <f>KÄYTTÖTAULU!$F$6</f>
        <v>0</v>
      </c>
      <c r="H113" s="11">
        <f>KÄYTTÖTAULU!$F$6</f>
        <v>0</v>
      </c>
      <c r="I113" s="11"/>
      <c r="J113" s="11"/>
      <c r="O113" s="11"/>
      <c r="P113" s="11"/>
      <c r="Q113" s="11"/>
      <c r="R113" s="24">
        <v>0</v>
      </c>
      <c r="S113" s="25">
        <v>3</v>
      </c>
      <c r="T113" s="25">
        <v>0</v>
      </c>
      <c r="U113" s="25">
        <v>10</v>
      </c>
      <c r="V113" s="25">
        <v>10</v>
      </c>
      <c r="W113" s="49">
        <v>10</v>
      </c>
      <c r="X113" s="25">
        <v>1</v>
      </c>
      <c r="Y113" s="25">
        <f>1+S113/100</f>
        <v>1.03</v>
      </c>
      <c r="Z113" s="25">
        <f t="shared" si="40"/>
        <v>1.03</v>
      </c>
      <c r="AA113" s="25">
        <f t="shared" si="40"/>
        <v>1.1330000000000002</v>
      </c>
      <c r="AB113" s="25">
        <f t="shared" si="40"/>
        <v>1.2463000000000004</v>
      </c>
      <c r="AC113" s="49">
        <f t="shared" si="40"/>
        <v>1.3709300000000006</v>
      </c>
      <c r="AE113" s="1">
        <v>0</v>
      </c>
      <c r="AF113" s="1">
        <v>2</v>
      </c>
      <c r="AG113" s="1">
        <v>2</v>
      </c>
      <c r="AH113" s="1">
        <v>10</v>
      </c>
      <c r="AI113" s="1">
        <v>10</v>
      </c>
      <c r="AJ113" s="1">
        <v>10</v>
      </c>
      <c r="AL113" s="1">
        <f t="shared" si="22"/>
        <v>2</v>
      </c>
    </row>
    <row r="114" spans="1:38" ht="12.75">
      <c r="A114" s="1">
        <v>109</v>
      </c>
      <c r="B114" s="10" t="s">
        <v>325</v>
      </c>
      <c r="C114" s="191">
        <f>VLOOKUP(MID(B114,1,8)-0,'1.8.2022'!$B$9:$G$160,3,FALSE)</f>
        <v>2714.45</v>
      </c>
      <c r="D114" s="191">
        <f>VLOOKUP(MID(B114,1,8)-0,'1.8.2022'!$B$9:$G$160,5,FALSE)</f>
        <v>2688.73</v>
      </c>
      <c r="E114" s="11">
        <f>IF('muut muuttujat'!$G$3=1,C114,KÄYTTÖTAULU!$B$13)</f>
        <v>2714.45</v>
      </c>
      <c r="F114" s="11">
        <f>IF('muut muuttujat'!$G$3=1,D114,KÄYTTÖTAULU!$B$13)</f>
        <v>2688.73</v>
      </c>
      <c r="G114" s="11">
        <f>KÄYTTÖTAULU!$F$6</f>
        <v>0</v>
      </c>
      <c r="H114" s="11">
        <f>KÄYTTÖTAULU!$F$6</f>
        <v>0</v>
      </c>
      <c r="I114" s="11">
        <f>G114*0.83</f>
        <v>0</v>
      </c>
      <c r="J114" s="11">
        <f>H114*0.83</f>
        <v>0</v>
      </c>
      <c r="K114" s="1" t="e">
        <f>ROUND(I114/KÄYTTÖTAULU!$I$8,2)</f>
        <v>#DIV/0!</v>
      </c>
      <c r="L114" s="1" t="e">
        <f>ROUND(J114/KÄYTTÖTAULU!$I$8,2)</f>
        <v>#DIV/0!</v>
      </c>
      <c r="M114" s="1" t="e">
        <f>ROUND(K114*(12/38),2)</f>
        <v>#DIV/0!</v>
      </c>
      <c r="N114" s="1" t="e">
        <f>ROUND(L114*(12/38),2)</f>
        <v>#DIV/0!</v>
      </c>
      <c r="O114" s="11"/>
      <c r="P114" s="247"/>
      <c r="Q114" s="11"/>
      <c r="R114" s="24">
        <v>0</v>
      </c>
      <c r="S114" s="25">
        <v>3</v>
      </c>
      <c r="T114" s="25">
        <v>0</v>
      </c>
      <c r="U114" s="25">
        <v>9</v>
      </c>
      <c r="V114" s="25">
        <v>6</v>
      </c>
      <c r="W114" s="49">
        <v>6</v>
      </c>
      <c r="X114" s="25">
        <v>1</v>
      </c>
      <c r="Y114" s="25">
        <f t="shared" si="30"/>
        <v>1.03</v>
      </c>
      <c r="Z114" s="25">
        <f t="shared" si="31"/>
        <v>1.03</v>
      </c>
      <c r="AA114" s="25">
        <f t="shared" si="32"/>
        <v>1.1227</v>
      </c>
      <c r="AB114" s="25">
        <f t="shared" si="33"/>
        <v>1.1900620000000002</v>
      </c>
      <c r="AC114" s="49">
        <f t="shared" si="34"/>
        <v>1.2614657200000003</v>
      </c>
      <c r="AE114" s="1">
        <v>0</v>
      </c>
      <c r="AF114" s="1">
        <v>2</v>
      </c>
      <c r="AG114" s="1">
        <v>2</v>
      </c>
      <c r="AH114" s="1">
        <v>9</v>
      </c>
      <c r="AI114" s="1">
        <v>6</v>
      </c>
      <c r="AJ114" s="1">
        <v>6</v>
      </c>
      <c r="AL114" s="1">
        <f t="shared" si="22"/>
        <v>2</v>
      </c>
    </row>
    <row r="115" spans="1:38" ht="12.75">
      <c r="A115" s="1">
        <v>110</v>
      </c>
      <c r="B115" s="10" t="s">
        <v>326</v>
      </c>
      <c r="C115" s="191">
        <f>VLOOKUP(MID(B115,1,8)-0,'1.8.2022'!$B$9:$G$160,3,FALSE)</f>
        <v>2442.35</v>
      </c>
      <c r="D115" s="191">
        <f>VLOOKUP(MID(B115,1,8)-0,'1.8.2022'!$B$9:$G$160,5,FALSE)</f>
        <v>2419.22</v>
      </c>
      <c r="E115" s="11">
        <f>IF('muut muuttujat'!$G$3=1,C115,KÄYTTÖTAULU!$B$13)</f>
        <v>2442.35</v>
      </c>
      <c r="F115" s="11">
        <f>IF('muut muuttujat'!$G$3=1,D115,KÄYTTÖTAULU!$B$13)</f>
        <v>2419.22</v>
      </c>
      <c r="G115" s="11">
        <f>KÄYTTÖTAULU!$F$6</f>
        <v>0</v>
      </c>
      <c r="H115" s="11">
        <f>KÄYTTÖTAULU!$F$6</f>
        <v>0</v>
      </c>
      <c r="I115" s="11">
        <f>G115*0.83</f>
        <v>0</v>
      </c>
      <c r="J115" s="11">
        <f>H115*0.83</f>
        <v>0</v>
      </c>
      <c r="K115" s="1" t="e">
        <f>ROUND(I115/KÄYTTÖTAULU!$I$8,2)</f>
        <v>#DIV/0!</v>
      </c>
      <c r="L115" s="1" t="e">
        <f>ROUND(J115/KÄYTTÖTAULU!$I$8,2)</f>
        <v>#DIV/0!</v>
      </c>
      <c r="M115" s="1" t="e">
        <f>ROUND(K115*(12/38),2)</f>
        <v>#DIV/0!</v>
      </c>
      <c r="N115" s="1" t="e">
        <f>ROUND(L115*(12/38),2)</f>
        <v>#DIV/0!</v>
      </c>
      <c r="O115" s="11"/>
      <c r="P115" s="11"/>
      <c r="Q115" s="11"/>
      <c r="R115" s="24">
        <v>0</v>
      </c>
      <c r="S115" s="25">
        <v>3</v>
      </c>
      <c r="T115" s="25">
        <v>0</v>
      </c>
      <c r="U115" s="25">
        <v>9</v>
      </c>
      <c r="V115" s="25">
        <v>6</v>
      </c>
      <c r="W115" s="49">
        <v>6</v>
      </c>
      <c r="X115" s="25">
        <v>1</v>
      </c>
      <c r="Y115" s="25">
        <f t="shared" si="30"/>
        <v>1.03</v>
      </c>
      <c r="Z115" s="25">
        <f>(1+T115/100)*Y115</f>
        <v>1.03</v>
      </c>
      <c r="AA115" s="25">
        <f>(1+U115/100)*Z115</f>
        <v>1.1227</v>
      </c>
      <c r="AB115" s="25">
        <f t="shared" si="33"/>
        <v>1.1900620000000002</v>
      </c>
      <c r="AC115" s="49">
        <f t="shared" si="34"/>
        <v>1.2614657200000003</v>
      </c>
      <c r="AE115" s="1">
        <v>0</v>
      </c>
      <c r="AF115" s="1">
        <v>2</v>
      </c>
      <c r="AG115" s="1">
        <v>2</v>
      </c>
      <c r="AH115" s="1">
        <v>9</v>
      </c>
      <c r="AI115" s="1">
        <v>6</v>
      </c>
      <c r="AJ115" s="1">
        <v>6</v>
      </c>
      <c r="AL115" s="1">
        <f t="shared" si="22"/>
        <v>2</v>
      </c>
    </row>
    <row r="116" spans="1:38" ht="12.75">
      <c r="A116" s="1">
        <v>111</v>
      </c>
      <c r="B116" s="10" t="s">
        <v>327</v>
      </c>
      <c r="C116" s="191">
        <f>VLOOKUP(MID(B116,1,8)-0,'1.8.2022'!$B$9:$G$160,3,FALSE)</f>
        <v>26.18</v>
      </c>
      <c r="D116" s="191"/>
      <c r="E116" s="11"/>
      <c r="F116" s="11"/>
      <c r="G116" s="11"/>
      <c r="H116" s="11"/>
      <c r="I116" s="11"/>
      <c r="J116" s="11"/>
      <c r="O116" s="11"/>
      <c r="P116" s="11"/>
      <c r="Q116" s="226">
        <f>ROUND(ROUND('1.8.2022'!$D$155*IF('muut muuttujat'!$A$11=1,1,IF('muut muuttujat'!$A$11=2,1.06,IF('muut muuttujat'!$A$11=3,(1.06*1.04),IF('muut muuttujat'!$A$11=4,(1.06*1.04*1.04))))),2)*(1+KÄYTTÖTAULU!$M$20/100),2)</f>
        <v>26.18</v>
      </c>
      <c r="R116" s="24"/>
      <c r="S116" s="25"/>
      <c r="T116" s="25"/>
      <c r="U116" s="25"/>
      <c r="V116" s="25"/>
      <c r="W116" s="49"/>
      <c r="X116" s="25"/>
      <c r="Y116" s="25"/>
      <c r="Z116" s="25"/>
      <c r="AA116" s="25"/>
      <c r="AB116" s="25"/>
      <c r="AC116" s="49"/>
      <c r="AL116" s="1">
        <f t="shared" si="22"/>
        <v>0</v>
      </c>
    </row>
    <row r="117" spans="1:38" ht="12.75">
      <c r="A117" s="1">
        <v>112</v>
      </c>
      <c r="B117" s="10" t="s">
        <v>328</v>
      </c>
      <c r="C117" s="191">
        <f>VLOOKUP(MID(B117,1,8)-0,'1.8.2022'!$B$9:$G$160,3,FALSE)</f>
        <v>3703.35</v>
      </c>
      <c r="D117" s="191">
        <f>VLOOKUP(MID(B117,1,8)-0,'1.8.2022'!$B$9:$G$160,5,FALSE)</f>
        <v>3667.93</v>
      </c>
      <c r="E117" s="11">
        <f>IF('muut muuttujat'!$G$3=1,C117,KÄYTTÖTAULU!$B$13)</f>
        <v>3703.35</v>
      </c>
      <c r="F117" s="11">
        <f>IF('muut muuttujat'!$G$3=1,D117,KÄYTTÖTAULU!$B$13)</f>
        <v>3667.93</v>
      </c>
      <c r="G117" s="11">
        <f>KÄYTTÖTAULU!$F$6</f>
        <v>0</v>
      </c>
      <c r="H117" s="11">
        <f>KÄYTTÖTAULU!$F$6</f>
        <v>0</v>
      </c>
      <c r="I117" s="11"/>
      <c r="J117" s="11"/>
      <c r="O117" s="11"/>
      <c r="P117" s="11"/>
      <c r="Q117" s="208"/>
      <c r="R117" s="24">
        <v>0</v>
      </c>
      <c r="S117" s="25">
        <v>0</v>
      </c>
      <c r="T117" s="25">
        <v>0</v>
      </c>
      <c r="U117" s="25">
        <v>5</v>
      </c>
      <c r="V117" s="25">
        <v>4</v>
      </c>
      <c r="W117" s="49">
        <v>6</v>
      </c>
      <c r="X117" s="25">
        <v>1</v>
      </c>
      <c r="Y117" s="25">
        <f>1+S117/100</f>
        <v>1</v>
      </c>
      <c r="Z117" s="25">
        <f aca="true" t="shared" si="41" ref="Z117:AC120">(1+T117/100)*Y117</f>
        <v>1</v>
      </c>
      <c r="AA117" s="25">
        <f t="shared" si="41"/>
        <v>1.05</v>
      </c>
      <c r="AB117" s="25">
        <f t="shared" si="41"/>
        <v>1.092</v>
      </c>
      <c r="AC117" s="49">
        <f t="shared" si="41"/>
        <v>1.15752</v>
      </c>
      <c r="AE117" s="1">
        <v>0</v>
      </c>
      <c r="AF117" s="1">
        <v>0</v>
      </c>
      <c r="AG117" s="1">
        <v>0</v>
      </c>
      <c r="AH117" s="1">
        <v>5</v>
      </c>
      <c r="AI117" s="1">
        <v>4</v>
      </c>
      <c r="AJ117" s="1">
        <v>6</v>
      </c>
      <c r="AL117" s="1">
        <f t="shared" si="22"/>
        <v>0</v>
      </c>
    </row>
    <row r="118" spans="1:38" ht="12.75">
      <c r="A118" s="1">
        <v>113</v>
      </c>
      <c r="B118" s="10" t="s">
        <v>329</v>
      </c>
      <c r="C118" s="191">
        <f>VLOOKUP(MID(B118,1,8)-0,'1.8.2022'!$B$9:$G$160,3,FALSE)</f>
        <v>3433.38</v>
      </c>
      <c r="D118" s="191">
        <f>VLOOKUP(MID(B118,1,8)-0,'1.8.2022'!$B$9:$G$160,5,FALSE)</f>
        <v>3400.81</v>
      </c>
      <c r="E118" s="11">
        <f>IF('muut muuttujat'!$G$3=1,C118,KÄYTTÖTAULU!$B$13)</f>
        <v>3433.38</v>
      </c>
      <c r="F118" s="11">
        <f>IF('muut muuttujat'!$G$3=1,D118,KÄYTTÖTAULU!$B$13)</f>
        <v>3400.81</v>
      </c>
      <c r="G118" s="11">
        <f>KÄYTTÖTAULU!$F$6</f>
        <v>0</v>
      </c>
      <c r="H118" s="11">
        <f>KÄYTTÖTAULU!$F$6</f>
        <v>0</v>
      </c>
      <c r="I118" s="11"/>
      <c r="J118" s="11"/>
      <c r="O118" s="11"/>
      <c r="P118" s="11"/>
      <c r="Q118" s="208"/>
      <c r="R118" s="24">
        <v>0</v>
      </c>
      <c r="S118" s="25">
        <v>3</v>
      </c>
      <c r="T118" s="25">
        <v>0</v>
      </c>
      <c r="U118" s="25">
        <v>5</v>
      </c>
      <c r="V118" s="25">
        <v>0</v>
      </c>
      <c r="W118" s="49">
        <v>0</v>
      </c>
      <c r="X118" s="25">
        <v>1</v>
      </c>
      <c r="Y118" s="25">
        <f>1+S118/100</f>
        <v>1.03</v>
      </c>
      <c r="Z118" s="25">
        <f t="shared" si="41"/>
        <v>1.03</v>
      </c>
      <c r="AA118" s="25">
        <f t="shared" si="41"/>
        <v>1.0815000000000001</v>
      </c>
      <c r="AB118" s="25">
        <f t="shared" si="41"/>
        <v>1.0815000000000001</v>
      </c>
      <c r="AC118" s="49">
        <f t="shared" si="41"/>
        <v>1.0815000000000001</v>
      </c>
      <c r="AE118" s="1">
        <v>0</v>
      </c>
      <c r="AF118" s="1">
        <v>2</v>
      </c>
      <c r="AG118" s="1">
        <v>2</v>
      </c>
      <c r="AH118" s="1">
        <v>5</v>
      </c>
      <c r="AI118" s="1">
        <v>0</v>
      </c>
      <c r="AJ118" s="1">
        <v>0</v>
      </c>
      <c r="AL118" s="1">
        <f t="shared" si="22"/>
        <v>2</v>
      </c>
    </row>
    <row r="119" spans="1:38" ht="12.75">
      <c r="A119" s="1">
        <v>114</v>
      </c>
      <c r="B119" s="10" t="s">
        <v>330</v>
      </c>
      <c r="C119" s="191">
        <f>VLOOKUP(MID(B119,1,8)-0,'1.8.2022'!$B$9:$G$160,3,FALSE)</f>
        <v>3347.4</v>
      </c>
      <c r="D119" s="191">
        <f>VLOOKUP(MID(B119,1,8)-0,'1.8.2022'!$B$9:$G$160,5,FALSE)</f>
        <v>3315.64</v>
      </c>
      <c r="E119" s="11">
        <f>IF('muut muuttujat'!$G$3=1,C119,KÄYTTÖTAULU!$B$13)</f>
        <v>3347.4</v>
      </c>
      <c r="F119" s="11">
        <f>IF('muut muuttujat'!$G$3=1,D119,KÄYTTÖTAULU!$B$13)</f>
        <v>3315.64</v>
      </c>
      <c r="G119" s="11">
        <f>KÄYTTÖTAULU!$F$6</f>
        <v>0</v>
      </c>
      <c r="H119" s="11">
        <f>KÄYTTÖTAULU!$F$6</f>
        <v>0</v>
      </c>
      <c r="I119" s="11"/>
      <c r="J119" s="11"/>
      <c r="O119" s="11"/>
      <c r="P119" s="11"/>
      <c r="Q119" s="208"/>
      <c r="R119" s="24">
        <v>0</v>
      </c>
      <c r="S119" s="25">
        <v>3</v>
      </c>
      <c r="T119" s="25">
        <v>0</v>
      </c>
      <c r="U119" s="25">
        <v>5</v>
      </c>
      <c r="V119" s="25">
        <v>0</v>
      </c>
      <c r="W119" s="49">
        <v>0</v>
      </c>
      <c r="X119" s="25">
        <v>1</v>
      </c>
      <c r="Y119" s="25">
        <f>1+S119/100</f>
        <v>1.03</v>
      </c>
      <c r="Z119" s="25">
        <f t="shared" si="41"/>
        <v>1.03</v>
      </c>
      <c r="AA119" s="25">
        <f t="shared" si="41"/>
        <v>1.0815000000000001</v>
      </c>
      <c r="AB119" s="25">
        <f t="shared" si="41"/>
        <v>1.0815000000000001</v>
      </c>
      <c r="AC119" s="49">
        <f t="shared" si="41"/>
        <v>1.0815000000000001</v>
      </c>
      <c r="AE119" s="1">
        <v>0</v>
      </c>
      <c r="AF119" s="1">
        <v>2</v>
      </c>
      <c r="AG119" s="1">
        <v>2</v>
      </c>
      <c r="AH119" s="1">
        <v>5</v>
      </c>
      <c r="AI119" s="1">
        <v>0</v>
      </c>
      <c r="AJ119" s="1">
        <v>0</v>
      </c>
      <c r="AL119" s="1">
        <f t="shared" si="22"/>
        <v>2</v>
      </c>
    </row>
    <row r="120" spans="1:38" ht="12.75">
      <c r="A120" s="1">
        <v>115</v>
      </c>
      <c r="B120" s="10" t="s">
        <v>331</v>
      </c>
      <c r="C120" s="191">
        <f>VLOOKUP(MID(B120,1,8)-0,'1.8.2022'!$B$9:$G$160,3,FALSE)</f>
        <v>2873.98</v>
      </c>
      <c r="D120" s="191">
        <f>VLOOKUP(MID(B120,1,8)-0,'1.8.2022'!$B$9:$G$160,5,FALSE)</f>
        <v>2846.72</v>
      </c>
      <c r="E120" s="11">
        <f>IF('muut muuttujat'!$G$3=1,C120,KÄYTTÖTAULU!$B$13)</f>
        <v>2873.98</v>
      </c>
      <c r="F120" s="11">
        <f>IF('muut muuttujat'!$G$3=1,D120,KÄYTTÖTAULU!$B$13)</f>
        <v>2846.72</v>
      </c>
      <c r="G120" s="11">
        <f>KÄYTTÖTAULU!$F$6</f>
        <v>0</v>
      </c>
      <c r="H120" s="11">
        <f>KÄYTTÖTAULU!$F$6</f>
        <v>0</v>
      </c>
      <c r="I120" s="11"/>
      <c r="J120" s="11"/>
      <c r="O120" s="11"/>
      <c r="P120" s="11"/>
      <c r="Q120" s="3"/>
      <c r="R120" s="24">
        <v>0</v>
      </c>
      <c r="S120" s="25">
        <v>3</v>
      </c>
      <c r="T120" s="25">
        <v>0</v>
      </c>
      <c r="U120" s="25">
        <v>5</v>
      </c>
      <c r="V120" s="25">
        <v>0</v>
      </c>
      <c r="W120" s="49">
        <v>0</v>
      </c>
      <c r="X120" s="25">
        <v>1</v>
      </c>
      <c r="Y120" s="25">
        <f>1+S120/100</f>
        <v>1.03</v>
      </c>
      <c r="Z120" s="25">
        <f t="shared" si="41"/>
        <v>1.03</v>
      </c>
      <c r="AA120" s="25">
        <f t="shared" si="41"/>
        <v>1.0815000000000001</v>
      </c>
      <c r="AB120" s="25">
        <f t="shared" si="41"/>
        <v>1.0815000000000001</v>
      </c>
      <c r="AC120" s="49">
        <f t="shared" si="41"/>
        <v>1.0815000000000001</v>
      </c>
      <c r="AE120" s="1">
        <v>0</v>
      </c>
      <c r="AF120" s="1">
        <v>2</v>
      </c>
      <c r="AG120" s="1">
        <v>2</v>
      </c>
      <c r="AH120" s="1">
        <v>5</v>
      </c>
      <c r="AI120" s="1">
        <v>0</v>
      </c>
      <c r="AJ120" s="1">
        <v>0</v>
      </c>
      <c r="AL120" s="1">
        <f t="shared" si="22"/>
        <v>2</v>
      </c>
    </row>
    <row r="121" spans="1:33" ht="12.75">
      <c r="A121" s="1">
        <v>116</v>
      </c>
      <c r="B121" s="10" t="s">
        <v>332</v>
      </c>
      <c r="C121" s="191">
        <f>VLOOKUP(MID(B121,1,8)-0,'1.8.2022'!$B$9:$G$160,3,FALSE)</f>
        <v>26.18</v>
      </c>
      <c r="D121" s="191"/>
      <c r="G121" s="1"/>
      <c r="H121" s="1"/>
      <c r="I121" s="1"/>
      <c r="J121" s="1"/>
      <c r="Q121" s="257">
        <f>ROUND(ROUND('1.8.2022'!D160*IF('muut muuttujat'!$A$11=1,1,IF('muut muuttujat'!$A$11=2,1.06,IF('muut muuttujat'!$A$11=3,(1.06*1.04),IF('muut muuttujat'!$A$11=4,(1.06*1.04*1.04))))),2)*(1+KÄYTTÖTAULU!$M$20/100),2)</f>
        <v>26.18</v>
      </c>
      <c r="R121" s="25"/>
      <c r="S121" s="25"/>
      <c r="T121" s="25"/>
      <c r="U121" s="25"/>
      <c r="V121" s="25"/>
      <c r="W121" s="49"/>
      <c r="X121" s="24"/>
      <c r="Y121" s="25"/>
      <c r="Z121" s="25"/>
      <c r="AA121" s="25"/>
      <c r="AB121" s="25"/>
      <c r="AC121" s="49"/>
      <c r="AD121" s="25"/>
      <c r="AF121" s="11"/>
      <c r="AG121" s="11"/>
    </row>
    <row r="122" spans="1:33" ht="12.75">
      <c r="A122" s="1">
        <v>117</v>
      </c>
      <c r="B122" s="256" t="s">
        <v>466</v>
      </c>
      <c r="Q122" s="49"/>
      <c r="S122" s="1">
        <v>3</v>
      </c>
      <c r="U122" s="1">
        <v>8</v>
      </c>
      <c r="W122" s="49"/>
      <c r="X122" s="1">
        <v>1</v>
      </c>
      <c r="Y122" s="1">
        <v>1.03</v>
      </c>
      <c r="Z122" s="1">
        <v>1.03</v>
      </c>
      <c r="AA122" s="1">
        <v>1.08</v>
      </c>
      <c r="AB122" s="1">
        <v>1.08</v>
      </c>
      <c r="AC122" s="49">
        <v>1.08</v>
      </c>
      <c r="AE122" s="227"/>
      <c r="AF122" s="11"/>
      <c r="AG122" s="11"/>
    </row>
    <row r="123" spans="1:33" ht="12.75">
      <c r="A123" s="1">
        <v>118</v>
      </c>
      <c r="B123" s="256" t="s">
        <v>467</v>
      </c>
      <c r="Q123" s="49"/>
      <c r="S123" s="1">
        <v>3</v>
      </c>
      <c r="U123" s="1">
        <v>8</v>
      </c>
      <c r="W123" s="49"/>
      <c r="X123" s="1">
        <v>1</v>
      </c>
      <c r="Y123" s="1">
        <v>1.03</v>
      </c>
      <c r="Z123" s="1">
        <v>1.03</v>
      </c>
      <c r="AA123" s="1">
        <v>1.08</v>
      </c>
      <c r="AB123" s="1">
        <v>1.08</v>
      </c>
      <c r="AC123" s="49">
        <v>1.08</v>
      </c>
      <c r="AE123" s="227"/>
      <c r="AF123" s="11"/>
      <c r="AG123" s="11"/>
    </row>
    <row r="124" spans="1:33" ht="12.75">
      <c r="A124" s="1">
        <v>119</v>
      </c>
      <c r="B124" s="256" t="s">
        <v>468</v>
      </c>
      <c r="Q124" s="49"/>
      <c r="S124" s="1">
        <v>3</v>
      </c>
      <c r="U124" s="1">
        <v>8</v>
      </c>
      <c r="W124" s="49"/>
      <c r="X124" s="1">
        <v>1</v>
      </c>
      <c r="Y124" s="1">
        <v>1.03</v>
      </c>
      <c r="Z124" s="1">
        <v>1.03</v>
      </c>
      <c r="AA124" s="1">
        <v>1.08</v>
      </c>
      <c r="AB124" s="1">
        <v>1.08</v>
      </c>
      <c r="AC124" s="49">
        <v>1.08</v>
      </c>
      <c r="AE124" s="227"/>
      <c r="AF124" s="11"/>
      <c r="AG124" s="11"/>
    </row>
    <row r="125" spans="1:33" ht="13.5" thickBot="1">
      <c r="A125" s="1">
        <v>120</v>
      </c>
      <c r="B125" s="256" t="s">
        <v>469</v>
      </c>
      <c r="Q125" s="49"/>
      <c r="R125" s="50"/>
      <c r="S125" s="1">
        <v>3</v>
      </c>
      <c r="U125" s="1">
        <v>8</v>
      </c>
      <c r="W125" s="51"/>
      <c r="X125" s="1">
        <v>1</v>
      </c>
      <c r="Y125" s="1">
        <v>1.03</v>
      </c>
      <c r="Z125" s="1">
        <v>1.03</v>
      </c>
      <c r="AA125" s="1">
        <v>1.08</v>
      </c>
      <c r="AB125" s="1">
        <v>1.08</v>
      </c>
      <c r="AC125" s="51">
        <v>1.08</v>
      </c>
      <c r="AE125" s="227"/>
      <c r="AF125" s="11"/>
      <c r="AG125" s="11"/>
    </row>
    <row r="126" spans="17:33" ht="12.75">
      <c r="Q126" s="49"/>
      <c r="R126" s="59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25"/>
      <c r="AE126" s="227"/>
      <c r="AF126" s="11"/>
      <c r="AG126" s="11"/>
    </row>
    <row r="127" spans="18:29" ht="12.75"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38" ht="12.75">
      <c r="B138" s="15"/>
    </row>
    <row r="139" ht="12.75">
      <c r="B139" s="3"/>
    </row>
    <row r="141" ht="12.75">
      <c r="B141" s="16"/>
    </row>
    <row r="143" ht="12.75">
      <c r="B143" s="15"/>
    </row>
    <row r="149" spans="3:14" ht="12.75">
      <c r="C149" s="129"/>
      <c r="D149" s="25"/>
      <c r="E149" s="25"/>
      <c r="F149" s="130"/>
      <c r="G149" s="25"/>
      <c r="H149" s="131"/>
      <c r="I149" s="131"/>
      <c r="J149" s="1"/>
      <c r="K149" s="128"/>
      <c r="L149" s="128"/>
      <c r="M149" s="128"/>
      <c r="N149" s="128"/>
    </row>
    <row r="150" spans="2:14" ht="12.75">
      <c r="B150" s="12"/>
      <c r="C150" s="25"/>
      <c r="D150" s="129"/>
      <c r="E150" s="127"/>
      <c r="F150" s="25"/>
      <c r="G150" s="25"/>
      <c r="H150" s="25"/>
      <c r="I150" s="25"/>
      <c r="J150" s="1"/>
      <c r="K150" s="128"/>
      <c r="L150" s="128"/>
      <c r="M150" s="128"/>
      <c r="N150" s="128"/>
    </row>
    <row r="151" ht="12.75">
      <c r="B151" s="18"/>
    </row>
    <row r="153" ht="12.75">
      <c r="B153" s="16"/>
    </row>
    <row r="160" spans="3:10" ht="12.75">
      <c r="C160" s="25"/>
      <c r="D160" s="25"/>
      <c r="E160" s="25"/>
      <c r="F160" s="25"/>
      <c r="G160" s="25"/>
      <c r="H160" s="25"/>
      <c r="I160" s="25"/>
      <c r="J160" s="1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spans="3:7" ht="12.75">
      <c r="C166" s="14"/>
      <c r="G166" s="1"/>
    </row>
    <row r="167" ht="12.75">
      <c r="C167" s="14"/>
    </row>
    <row r="168" spans="3:7" ht="12.75">
      <c r="C168" s="19"/>
      <c r="D168" s="6"/>
      <c r="E168" s="6"/>
      <c r="G168" s="1"/>
    </row>
    <row r="169" spans="2:3" ht="12.75">
      <c r="B169" s="3"/>
      <c r="C169" s="14"/>
    </row>
    <row r="171" ht="12.75">
      <c r="C171" s="21"/>
    </row>
    <row r="173" spans="2:3" ht="12.75">
      <c r="B173" s="3"/>
      <c r="C173" s="14"/>
    </row>
    <row r="175" ht="12.75">
      <c r="C175" s="21"/>
    </row>
    <row r="176" ht="12.75">
      <c r="C176" s="21"/>
    </row>
    <row r="177" ht="12.75">
      <c r="C177" s="21"/>
    </row>
    <row r="179" spans="2:3" ht="12.75">
      <c r="B179" s="3"/>
      <c r="C179" s="14"/>
    </row>
    <row r="181" ht="12.75">
      <c r="C181" s="21"/>
    </row>
    <row r="182" ht="12.75">
      <c r="C182" s="21"/>
    </row>
    <row r="183" ht="12.75">
      <c r="C183" s="21"/>
    </row>
    <row r="185" spans="2:7" ht="12.75">
      <c r="B185" s="3"/>
      <c r="C185" s="14"/>
      <c r="D185" s="6"/>
      <c r="E185" s="6"/>
      <c r="G185" s="1"/>
    </row>
    <row r="186" spans="3:7" ht="12.75">
      <c r="C186" s="14"/>
      <c r="D186" s="6"/>
      <c r="E186" s="6"/>
      <c r="G186" s="1"/>
    </row>
    <row r="187" spans="3:7" ht="12.75">
      <c r="C187" s="21"/>
      <c r="D187" s="1"/>
      <c r="G187" s="1"/>
    </row>
    <row r="188" spans="3:7" ht="12.75">
      <c r="C188" s="21"/>
      <c r="D188" s="6"/>
      <c r="E188" s="6"/>
      <c r="G188" s="1"/>
    </row>
    <row r="189" spans="3:7" ht="12.75">
      <c r="C189" s="21"/>
      <c r="G189" s="1"/>
    </row>
    <row r="190" spans="3:7" ht="12.75">
      <c r="C190" s="21"/>
      <c r="D190" s="6"/>
      <c r="E190" s="6"/>
      <c r="G190" s="1"/>
    </row>
    <row r="191" spans="3:7" ht="12.75">
      <c r="C191" s="21"/>
      <c r="D191" s="6"/>
      <c r="E191" s="6"/>
      <c r="G191" s="1"/>
    </row>
    <row r="192" spans="2:7" ht="12.75">
      <c r="B192" s="3"/>
      <c r="C192" s="14"/>
      <c r="G192" s="1"/>
    </row>
    <row r="193" spans="3:7" ht="12.75">
      <c r="C193" s="13"/>
      <c r="G193" s="1"/>
    </row>
    <row r="194" spans="3:7" ht="12.75">
      <c r="C194" s="2"/>
      <c r="G194" s="1"/>
    </row>
    <row r="195" ht="12.75">
      <c r="G195" s="1"/>
    </row>
    <row r="196" spans="2:7" ht="12.75">
      <c r="B196" s="3"/>
      <c r="C196" s="14"/>
      <c r="D196" s="6"/>
      <c r="E196" s="6"/>
      <c r="F196" s="13"/>
      <c r="G196" s="1"/>
    </row>
    <row r="197" spans="3:7" ht="12.75">
      <c r="C197" s="19"/>
      <c r="D197" s="6"/>
      <c r="E197" s="19"/>
      <c r="F197" s="13"/>
      <c r="G197" s="1"/>
    </row>
    <row r="198" spans="3:7" ht="12.75">
      <c r="C198" s="21"/>
      <c r="D198" s="20"/>
      <c r="E198" s="2"/>
      <c r="F198" s="13"/>
      <c r="G198" s="1"/>
    </row>
    <row r="199" spans="3:7" ht="12.75">
      <c r="C199" s="21"/>
      <c r="D199" s="17"/>
      <c r="E199" s="2"/>
      <c r="G199" s="1"/>
    </row>
    <row r="200" spans="3:7" ht="12.75">
      <c r="C200" s="22"/>
      <c r="D200" s="13"/>
      <c r="E200" s="13"/>
      <c r="G200" s="1"/>
    </row>
    <row r="201" spans="2:7" ht="12.75">
      <c r="B201" s="13"/>
      <c r="C201" s="21"/>
      <c r="D201" s="13"/>
      <c r="E201" s="13"/>
      <c r="G201" s="1"/>
    </row>
    <row r="202" spans="2:7" ht="12.75">
      <c r="B202" s="13"/>
      <c r="C202" s="21"/>
      <c r="D202" s="13"/>
      <c r="E202" s="13"/>
      <c r="G202" s="1"/>
    </row>
    <row r="203" spans="3:7" ht="12.75">
      <c r="C203" s="21"/>
      <c r="D203" s="13"/>
      <c r="E203" s="13"/>
      <c r="G203" s="1"/>
    </row>
    <row r="204" spans="2:7" ht="12.75">
      <c r="B204" s="13"/>
      <c r="C204" s="21"/>
      <c r="D204" s="6"/>
      <c r="E204" s="19"/>
      <c r="G204" s="1"/>
    </row>
    <row r="205" spans="2:7" ht="12.75">
      <c r="B205" s="13"/>
      <c r="C205" s="2"/>
      <c r="D205" s="6"/>
      <c r="E205" s="19"/>
      <c r="G205" s="1"/>
    </row>
    <row r="206" spans="2:7" ht="12.75">
      <c r="B206" s="3"/>
      <c r="C206" s="14"/>
      <c r="G206" s="1"/>
    </row>
    <row r="207" ht="12.75">
      <c r="C207" s="19"/>
    </row>
    <row r="208" spans="3:7" ht="12.75">
      <c r="C208" s="2"/>
      <c r="D208" s="6"/>
      <c r="E208" s="6"/>
      <c r="G208" s="1"/>
    </row>
    <row r="209" spans="3:7" ht="12.75">
      <c r="C209" s="2"/>
      <c r="D209" s="13"/>
      <c r="E209" s="13"/>
      <c r="G209" s="1"/>
    </row>
    <row r="210" spans="3:7" ht="12.75">
      <c r="C210" s="6"/>
      <c r="D210" s="1"/>
      <c r="G210" s="1"/>
    </row>
    <row r="211" ht="12.75">
      <c r="G211" s="1"/>
    </row>
    <row r="212" spans="2:7" ht="12.75">
      <c r="B212" s="3"/>
      <c r="C212" s="14"/>
      <c r="D212" s="6"/>
      <c r="E212" s="6"/>
      <c r="F212" s="13"/>
      <c r="G212" s="1"/>
    </row>
    <row r="213" spans="2:7" ht="12.75">
      <c r="B213" s="13"/>
      <c r="C213" s="13"/>
      <c r="D213" s="6"/>
      <c r="E213" s="6"/>
      <c r="F213" s="13"/>
      <c r="G213" s="1"/>
    </row>
    <row r="214" spans="3:7" ht="12.75">
      <c r="C214" s="2"/>
      <c r="D214" s="13"/>
      <c r="E214" s="13"/>
      <c r="F214" s="13"/>
      <c r="G214" s="1"/>
    </row>
    <row r="215" spans="3:7" ht="12.75">
      <c r="C215" s="6"/>
      <c r="D215" s="13"/>
      <c r="E215" s="13"/>
      <c r="F215" s="13"/>
      <c r="G215" s="1"/>
    </row>
    <row r="216" spans="2:6" ht="12.75">
      <c r="B216" s="13"/>
      <c r="C216" s="6"/>
      <c r="D216" s="13"/>
      <c r="E216" s="13"/>
      <c r="F216" s="13"/>
    </row>
    <row r="217" spans="4:6" ht="12.75">
      <c r="D217" s="13"/>
      <c r="E217" s="13"/>
      <c r="F217" s="13"/>
    </row>
    <row r="218" spans="4:6" ht="12.75">
      <c r="D218" s="13"/>
      <c r="E218" s="13"/>
      <c r="F218" s="13"/>
    </row>
    <row r="219" spans="4:6" ht="12.75">
      <c r="D219" s="13"/>
      <c r="E219" s="13"/>
      <c r="F219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Z35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2" width="48.421875" style="0" customWidth="1"/>
    <col min="4" max="4" width="11.57421875" style="0" customWidth="1"/>
    <col min="20" max="20" width="7.421875" style="0" customWidth="1"/>
  </cols>
  <sheetData>
    <row r="1" s="183" customFormat="1" ht="16.5">
      <c r="A1" s="126" t="s">
        <v>349</v>
      </c>
    </row>
    <row r="2" spans="17:20" s="183" customFormat="1" ht="12.75">
      <c r="Q2"/>
      <c r="R2"/>
      <c r="S2"/>
      <c r="T2"/>
    </row>
    <row r="3" spans="3:20" s="183" customFormat="1" ht="13.5" thickBot="1">
      <c r="C3" s="183" t="s">
        <v>169</v>
      </c>
      <c r="D3" s="183" t="s">
        <v>169</v>
      </c>
      <c r="E3" s="183" t="s">
        <v>169</v>
      </c>
      <c r="F3" s="183" t="s">
        <v>169</v>
      </c>
      <c r="G3" s="183" t="s">
        <v>169</v>
      </c>
      <c r="H3" s="183" t="s">
        <v>169</v>
      </c>
      <c r="I3" s="183" t="s">
        <v>170</v>
      </c>
      <c r="J3" s="183" t="s">
        <v>170</v>
      </c>
      <c r="K3" s="183" t="s">
        <v>170</v>
      </c>
      <c r="L3" s="183" t="s">
        <v>170</v>
      </c>
      <c r="M3" s="183" t="s">
        <v>170</v>
      </c>
      <c r="N3" s="238" t="s">
        <v>170</v>
      </c>
      <c r="R3"/>
      <c r="S3"/>
      <c r="T3"/>
    </row>
    <row r="4" spans="1:21" s="183" customFormat="1" ht="13.5" thickBot="1">
      <c r="A4" s="145">
        <v>1</v>
      </c>
      <c r="B4" s="183" t="s">
        <v>164</v>
      </c>
      <c r="C4" s="183" t="s">
        <v>159</v>
      </c>
      <c r="D4" s="183" t="s">
        <v>335</v>
      </c>
      <c r="E4" s="183" t="s">
        <v>334</v>
      </c>
      <c r="F4" s="183" t="s">
        <v>160</v>
      </c>
      <c r="G4" s="183" t="s">
        <v>161</v>
      </c>
      <c r="H4" s="238" t="s">
        <v>336</v>
      </c>
      <c r="I4" s="183" t="s">
        <v>159</v>
      </c>
      <c r="J4" s="183" t="s">
        <v>335</v>
      </c>
      <c r="K4" s="183" t="s">
        <v>334</v>
      </c>
      <c r="L4" s="183" t="s">
        <v>160</v>
      </c>
      <c r="M4" s="183" t="s">
        <v>161</v>
      </c>
      <c r="N4" s="238" t="s">
        <v>336</v>
      </c>
      <c r="R4"/>
      <c r="S4"/>
      <c r="T4"/>
      <c r="U4" s="25"/>
    </row>
    <row r="5" spans="1:20" s="183" customFormat="1" ht="12.75">
      <c r="A5" s="258">
        <v>1</v>
      </c>
      <c r="B5" s="183" t="s">
        <v>460</v>
      </c>
      <c r="C5" s="248">
        <f>'1.8.2022'!D129</f>
        <v>3586.66</v>
      </c>
      <c r="D5" s="248">
        <f>'1.8.2022'!E129</f>
        <v>3785.05</v>
      </c>
      <c r="E5" s="248">
        <f>'1.8.2022'!F129</f>
        <v>3925.24</v>
      </c>
      <c r="F5" s="248">
        <f>'1.8.2022'!G129</f>
        <v>4143.95</v>
      </c>
      <c r="G5" s="248">
        <f>'1.8.2022'!H129</f>
        <v>4375.78</v>
      </c>
      <c r="H5" s="248">
        <f>'1.8.2022'!I129</f>
        <v>4621.54</v>
      </c>
      <c r="I5" s="248">
        <f>'1.8.2022'!J129</f>
        <v>3552.6</v>
      </c>
      <c r="J5" s="248">
        <f>'1.8.2022'!K129</f>
        <v>3749.11</v>
      </c>
      <c r="K5" s="248">
        <f>'1.8.2022'!L129</f>
        <v>3887.99</v>
      </c>
      <c r="L5" s="248">
        <f>'1.8.2022'!M129</f>
        <v>4104.62</v>
      </c>
      <c r="M5" s="248">
        <f>'1.8.2022'!N129</f>
        <v>4334.26</v>
      </c>
      <c r="N5" s="248">
        <f>'1.8.2022'!O129</f>
        <v>4577.66</v>
      </c>
      <c r="Q5"/>
      <c r="R5"/>
      <c r="S5"/>
      <c r="T5"/>
    </row>
    <row r="6" spans="1:26" s="183" customFormat="1" ht="12.75">
      <c r="A6" s="258">
        <v>2</v>
      </c>
      <c r="B6" s="183" t="s">
        <v>337</v>
      </c>
      <c r="C6" s="248">
        <f>'1.8.2022'!D130</f>
        <v>3286.26</v>
      </c>
      <c r="D6" s="248">
        <f>'1.8.2022'!E130</f>
        <v>3351.98</v>
      </c>
      <c r="E6" s="248">
        <f>'1.8.2022'!F130</f>
        <v>3452.54</v>
      </c>
      <c r="F6" s="248">
        <f>'1.8.2022'!G130</f>
        <v>3625.15</v>
      </c>
      <c r="G6" s="248">
        <f>'1.8.2022'!H130</f>
        <v>3913.6</v>
      </c>
      <c r="H6" s="248">
        <f>'1.8.2022'!I130</f>
        <v>4070.14</v>
      </c>
      <c r="I6" s="248">
        <f>'1.8.2022'!J130</f>
        <v>3254.6</v>
      </c>
      <c r="J6" s="248">
        <f>'1.8.2022'!K130</f>
        <v>3319.68</v>
      </c>
      <c r="K6" s="248">
        <f>'1.8.2022'!L130</f>
        <v>3419.28</v>
      </c>
      <c r="L6" s="248">
        <f>'1.8.2022'!M130</f>
        <v>3590.28</v>
      </c>
      <c r="M6" s="248">
        <f>'1.8.2022'!N130</f>
        <v>3875.9</v>
      </c>
      <c r="N6" s="248">
        <f>'1.8.2022'!O130</f>
        <v>4030.94</v>
      </c>
      <c r="Q6"/>
      <c r="R6"/>
      <c r="S6"/>
      <c r="T6"/>
      <c r="Z6"/>
    </row>
    <row r="7" spans="1:26" s="183" customFormat="1" ht="12.75">
      <c r="A7" s="258">
        <v>3</v>
      </c>
      <c r="B7" s="183" t="s">
        <v>338</v>
      </c>
      <c r="C7" s="248">
        <f>'1.8.2022'!D131</f>
        <v>3586.66</v>
      </c>
      <c r="D7" s="248">
        <f>'1.8.2022'!E131</f>
        <v>3785.05</v>
      </c>
      <c r="E7" s="248">
        <f>'1.8.2022'!F131</f>
        <v>3925.24</v>
      </c>
      <c r="F7" s="248">
        <f>'1.8.2022'!G131</f>
        <v>4143.95</v>
      </c>
      <c r="G7" s="248">
        <f>'1.8.2022'!H131</f>
        <v>4375.78</v>
      </c>
      <c r="H7" s="248">
        <f>'1.8.2022'!I131</f>
        <v>4621.54</v>
      </c>
      <c r="I7" s="248">
        <f>'1.8.2022'!J131</f>
        <v>3552.6</v>
      </c>
      <c r="J7" s="248">
        <f>'1.8.2022'!K131</f>
        <v>3749.11</v>
      </c>
      <c r="K7" s="248">
        <f>'1.8.2022'!L131</f>
        <v>3887.99</v>
      </c>
      <c r="L7" s="248">
        <f>'1.8.2022'!M131</f>
        <v>4104.62</v>
      </c>
      <c r="M7" s="248">
        <f>'1.8.2022'!N131</f>
        <v>4334.26</v>
      </c>
      <c r="N7" s="248">
        <f>'1.8.2022'!O131</f>
        <v>4577.66</v>
      </c>
      <c r="Q7"/>
      <c r="R7"/>
      <c r="S7"/>
      <c r="T7"/>
      <c r="U7" s="25"/>
      <c r="Z7"/>
    </row>
    <row r="8" spans="1:26" s="183" customFormat="1" ht="12.75">
      <c r="A8" s="258">
        <v>4</v>
      </c>
      <c r="B8" s="183" t="s">
        <v>339</v>
      </c>
      <c r="C8" s="248">
        <f>'1.8.2022'!D133</f>
        <v>3123.29</v>
      </c>
      <c r="D8" s="248">
        <f>'1.8.2022'!E133</f>
        <v>3296.06</v>
      </c>
      <c r="E8" s="248">
        <f>'1.8.2022'!F133</f>
        <v>3418.15</v>
      </c>
      <c r="F8" s="248">
        <f>'1.8.2022'!G133</f>
        <v>3608.61</v>
      </c>
      <c r="G8" s="248">
        <f>'1.8.2022'!H133</f>
        <v>3810.49</v>
      </c>
      <c r="H8" s="248">
        <f>'1.8.2022'!I133</f>
        <v>4024.49</v>
      </c>
      <c r="I8" s="248">
        <f>'1.8.2022'!J133</f>
        <v>3093.65</v>
      </c>
      <c r="J8" s="248">
        <f>'1.8.2022'!K133</f>
        <v>3264.79</v>
      </c>
      <c r="K8" s="248">
        <f>'1.8.2022'!L133</f>
        <v>3385.71</v>
      </c>
      <c r="L8" s="248">
        <f>'1.8.2022'!M133</f>
        <v>3574.36</v>
      </c>
      <c r="M8" s="248">
        <f>'1.8.2022'!N133</f>
        <v>3774.33</v>
      </c>
      <c r="N8" s="248">
        <f>'1.8.2022'!O133</f>
        <v>3986.29</v>
      </c>
      <c r="Q8"/>
      <c r="R8"/>
      <c r="S8"/>
      <c r="T8"/>
      <c r="U8" s="25"/>
      <c r="Z8"/>
    </row>
    <row r="9" spans="1:21" s="183" customFormat="1" ht="12.75">
      <c r="A9" s="258">
        <v>5</v>
      </c>
      <c r="B9" s="183" t="s">
        <v>340</v>
      </c>
      <c r="C9" s="248">
        <f>'1.8.2022'!D135</f>
        <v>2916.45</v>
      </c>
      <c r="D9" s="248">
        <f>'1.8.2022'!E135</f>
        <v>3077.77</v>
      </c>
      <c r="E9" s="248">
        <f>'1.8.2022'!F135</f>
        <v>3191.77</v>
      </c>
      <c r="F9" s="248">
        <f>'1.8.2022'!G135</f>
        <v>3369.62</v>
      </c>
      <c r="G9" s="248">
        <f>'1.8.2022'!H135</f>
        <v>3558.14</v>
      </c>
      <c r="H9" s="248">
        <f>'1.8.2022'!I135</f>
        <v>3757.96</v>
      </c>
      <c r="I9" s="248">
        <f>'1.8.2022'!J135</f>
        <v>2888.82</v>
      </c>
      <c r="J9" s="248">
        <f>'1.8.2022'!K135</f>
        <v>3048.62</v>
      </c>
      <c r="K9" s="248">
        <f>'1.8.2022'!L135</f>
        <v>3161.53</v>
      </c>
      <c r="L9" s="248">
        <f>'1.8.2022'!M135</f>
        <v>3337.71</v>
      </c>
      <c r="M9" s="248">
        <f>'1.8.2022'!N135</f>
        <v>3524.43</v>
      </c>
      <c r="N9" s="248">
        <f>'1.8.2022'!O135</f>
        <v>3722.36</v>
      </c>
      <c r="Q9"/>
      <c r="R9"/>
      <c r="S9"/>
      <c r="T9"/>
      <c r="U9" s="25"/>
    </row>
    <row r="10" spans="1:26" s="183" customFormat="1" ht="12.75">
      <c r="A10" s="258">
        <v>6</v>
      </c>
      <c r="B10" s="183" t="s">
        <v>341</v>
      </c>
      <c r="C10" s="248">
        <f>'1.8.2022'!D137</f>
        <v>2848.17</v>
      </c>
      <c r="D10" s="248">
        <f>'1.8.2022'!E137</f>
        <v>3005.72</v>
      </c>
      <c r="E10" s="248">
        <f>'1.8.2022'!F137</f>
        <v>3117.06</v>
      </c>
      <c r="F10" s="248">
        <f>'1.8.2022'!G137</f>
        <v>3290.73</v>
      </c>
      <c r="G10" s="248">
        <f>'1.8.2022'!H137</f>
        <v>3474.83</v>
      </c>
      <c r="H10" s="248">
        <f>'1.8.2022'!I137</f>
        <v>3669.98</v>
      </c>
      <c r="I10" s="248">
        <f>'1.8.2022'!J137</f>
        <v>2821.1</v>
      </c>
      <c r="J10" s="248">
        <f>'1.8.2022'!K137</f>
        <v>2977.18</v>
      </c>
      <c r="K10" s="248">
        <f>'1.8.2022'!L137</f>
        <v>3087.45</v>
      </c>
      <c r="L10" s="248">
        <f>'1.8.2022'!M137</f>
        <v>3259.48</v>
      </c>
      <c r="M10" s="248">
        <f>'1.8.2022'!N137</f>
        <v>3441.83</v>
      </c>
      <c r="N10" s="248">
        <f>'1.8.2022'!O137</f>
        <v>3635.12</v>
      </c>
      <c r="Q10"/>
      <c r="R10"/>
      <c r="S10"/>
      <c r="T10"/>
      <c r="U10" s="25"/>
      <c r="Z10"/>
    </row>
    <row r="11" spans="1:26" s="183" customFormat="1" ht="12.75">
      <c r="A11" s="258">
        <v>7</v>
      </c>
      <c r="B11" s="183" t="s">
        <v>342</v>
      </c>
      <c r="C11" s="248">
        <f>'1.8.2022'!D132</f>
        <v>3586.66</v>
      </c>
      <c r="D11" s="248">
        <f>'1.8.2022'!E132</f>
        <v>3785.05</v>
      </c>
      <c r="E11" s="248">
        <f>'1.8.2022'!F132</f>
        <v>3925.24</v>
      </c>
      <c r="F11" s="248">
        <f>'1.8.2022'!G132</f>
        <v>4143.95</v>
      </c>
      <c r="G11" s="248">
        <f>'1.8.2022'!H132</f>
        <v>4375.78</v>
      </c>
      <c r="H11" s="248">
        <f>'1.8.2022'!I132</f>
        <v>4621.54</v>
      </c>
      <c r="I11" s="248">
        <f>'1.8.2022'!J132</f>
        <v>3552.6</v>
      </c>
      <c r="J11" s="248">
        <f>'1.8.2022'!K132</f>
        <v>3749.11</v>
      </c>
      <c r="K11" s="248">
        <f>'1.8.2022'!L132</f>
        <v>3887.99</v>
      </c>
      <c r="L11" s="248">
        <f>'1.8.2022'!M132</f>
        <v>4104.62</v>
      </c>
      <c r="M11" s="248">
        <f>'1.8.2022'!N132</f>
        <v>4334.26</v>
      </c>
      <c r="N11" s="248">
        <f>'1.8.2022'!O132</f>
        <v>4577.66</v>
      </c>
      <c r="Q11"/>
      <c r="R11"/>
      <c r="S11"/>
      <c r="T11"/>
      <c r="U11" s="25"/>
      <c r="Z11"/>
    </row>
    <row r="12" spans="1:26" s="183" customFormat="1" ht="12.75">
      <c r="A12" s="258">
        <v>8</v>
      </c>
      <c r="B12" s="183" t="s">
        <v>343</v>
      </c>
      <c r="C12" s="248">
        <f>'1.8.2022'!D134</f>
        <v>3123.29</v>
      </c>
      <c r="D12" s="248">
        <f>'1.8.2022'!E134</f>
        <v>3296.06</v>
      </c>
      <c r="E12" s="248">
        <f>'1.8.2022'!F134</f>
        <v>3418.15</v>
      </c>
      <c r="F12" s="248">
        <f>'1.8.2022'!G134</f>
        <v>3608.61</v>
      </c>
      <c r="G12" s="248">
        <f>'1.8.2022'!H134</f>
        <v>3810.49</v>
      </c>
      <c r="H12" s="248">
        <f>'1.8.2022'!I134</f>
        <v>4024.49</v>
      </c>
      <c r="I12" s="248">
        <f>'1.8.2022'!J134</f>
        <v>3093.65</v>
      </c>
      <c r="J12" s="248">
        <f>'1.8.2022'!K134</f>
        <v>3264.79</v>
      </c>
      <c r="K12" s="248">
        <f>'1.8.2022'!L134</f>
        <v>3385.71</v>
      </c>
      <c r="L12" s="248">
        <f>'1.8.2022'!M134</f>
        <v>3574.36</v>
      </c>
      <c r="M12" s="248">
        <f>'1.8.2022'!N134</f>
        <v>3774.33</v>
      </c>
      <c r="N12" s="248">
        <f>'1.8.2022'!O134</f>
        <v>3986.29</v>
      </c>
      <c r="Q12"/>
      <c r="R12"/>
      <c r="S12"/>
      <c r="T12"/>
      <c r="U12" s="25"/>
      <c r="Z12"/>
    </row>
    <row r="13" spans="1:21" s="183" customFormat="1" ht="12.75">
      <c r="A13" s="258">
        <v>9</v>
      </c>
      <c r="B13" s="183" t="s">
        <v>344</v>
      </c>
      <c r="C13" s="248">
        <f>'1.8.2022'!D136</f>
        <v>2916.45</v>
      </c>
      <c r="D13" s="248">
        <f>'1.8.2022'!E136</f>
        <v>3077.77</v>
      </c>
      <c r="E13" s="248">
        <f>'1.8.2022'!F136</f>
        <v>3191.77</v>
      </c>
      <c r="F13" s="248">
        <f>'1.8.2022'!G136</f>
        <v>3369.62</v>
      </c>
      <c r="G13" s="248">
        <f>'1.8.2022'!H136</f>
        <v>3558.14</v>
      </c>
      <c r="H13" s="248">
        <f>'1.8.2022'!I136</f>
        <v>3757.96</v>
      </c>
      <c r="I13" s="248">
        <f>'1.8.2022'!J136</f>
        <v>2888.82</v>
      </c>
      <c r="J13" s="248">
        <f>'1.8.2022'!K136</f>
        <v>3048.62</v>
      </c>
      <c r="K13" s="248">
        <f>'1.8.2022'!L136</f>
        <v>3161.53</v>
      </c>
      <c r="L13" s="248">
        <f>'1.8.2022'!M136</f>
        <v>3337.71</v>
      </c>
      <c r="M13" s="248">
        <f>'1.8.2022'!N136</f>
        <v>3524.43</v>
      </c>
      <c r="N13" s="248">
        <f>'1.8.2022'!O136</f>
        <v>3722.36</v>
      </c>
      <c r="Q13"/>
      <c r="R13"/>
      <c r="S13"/>
      <c r="T13"/>
      <c r="U13" s="25"/>
    </row>
    <row r="14" spans="1:21" s="183" customFormat="1" ht="12.75">
      <c r="A14" s="258">
        <v>10</v>
      </c>
      <c r="B14" s="183" t="s">
        <v>345</v>
      </c>
      <c r="C14" s="248">
        <f>'1.8.2022'!D138</f>
        <v>2848.17</v>
      </c>
      <c r="D14" s="248">
        <f>'1.8.2022'!E138</f>
        <v>3005.72</v>
      </c>
      <c r="E14" s="248">
        <f>'1.8.2022'!F138</f>
        <v>3117.06</v>
      </c>
      <c r="F14" s="248">
        <f>'1.8.2022'!G138</f>
        <v>3290.73</v>
      </c>
      <c r="G14" s="248">
        <f>'1.8.2022'!H138</f>
        <v>3474.83</v>
      </c>
      <c r="H14" s="248">
        <f>'1.8.2022'!I138</f>
        <v>3669.98</v>
      </c>
      <c r="I14" s="248">
        <f>'1.8.2022'!J138</f>
        <v>2821.1</v>
      </c>
      <c r="J14" s="248">
        <f>'1.8.2022'!K138</f>
        <v>2977.18</v>
      </c>
      <c r="K14" s="248">
        <f>'1.8.2022'!L138</f>
        <v>3087.45</v>
      </c>
      <c r="L14" s="248">
        <f>'1.8.2022'!M138</f>
        <v>3259.48</v>
      </c>
      <c r="M14" s="248">
        <f>'1.8.2022'!N138</f>
        <v>3441.83</v>
      </c>
      <c r="N14" s="248">
        <f>'1.8.2022'!O138</f>
        <v>3635.12</v>
      </c>
      <c r="Q14"/>
      <c r="R14"/>
      <c r="S14"/>
      <c r="T14"/>
      <c r="U14" s="25"/>
    </row>
    <row r="15" s="239" customFormat="1" ht="12.75"/>
    <row r="16" spans="3:21" s="183" customFormat="1" ht="12.75"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Q16"/>
      <c r="R16"/>
      <c r="S16"/>
      <c r="T16"/>
      <c r="U16" s="25"/>
    </row>
    <row r="17" spans="3:21" s="183" customFormat="1" ht="12.75"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Q17"/>
      <c r="R17"/>
      <c r="S17"/>
      <c r="T17"/>
      <c r="U17" s="25"/>
    </row>
    <row r="18" spans="3:11" s="183" customFormat="1" ht="13.5" thickBot="1">
      <c r="C18" s="246"/>
      <c r="D18" s="243"/>
      <c r="E18" s="243"/>
      <c r="F18" s="243"/>
      <c r="G18" s="243"/>
      <c r="H18" s="243"/>
      <c r="I18" s="243"/>
      <c r="J18" s="243"/>
      <c r="K18" s="243"/>
    </row>
    <row r="19" spans="1:11" s="183" customFormat="1" ht="87" customHeight="1" thickBot="1">
      <c r="A19" s="26">
        <v>1</v>
      </c>
      <c r="B19" s="25" t="s">
        <v>0</v>
      </c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s="183" customFormat="1" ht="12.75">
      <c r="A20" s="25">
        <v>1</v>
      </c>
      <c r="B20" s="25" t="s">
        <v>2</v>
      </c>
      <c r="C20" s="242"/>
      <c r="D20" s="241"/>
      <c r="E20" s="241"/>
      <c r="F20" s="241"/>
      <c r="G20" s="241"/>
      <c r="H20" s="241"/>
      <c r="I20" s="241"/>
      <c r="J20" s="241"/>
      <c r="K20" s="241"/>
    </row>
    <row r="21" spans="1:11" s="183" customFormat="1" ht="12.75">
      <c r="A21" s="25">
        <v>2</v>
      </c>
      <c r="B21" s="25" t="s">
        <v>3</v>
      </c>
      <c r="C21" s="242"/>
      <c r="D21" s="241"/>
      <c r="E21" s="241"/>
      <c r="F21" s="241"/>
      <c r="G21" s="241"/>
      <c r="H21" s="241"/>
      <c r="I21" s="241"/>
      <c r="J21" s="241"/>
      <c r="K21" s="241"/>
    </row>
    <row r="22" spans="3:11" s="183" customFormat="1" ht="12.75">
      <c r="C22" s="244"/>
      <c r="D22" s="241"/>
      <c r="E22" s="241"/>
      <c r="F22" s="241"/>
      <c r="G22" s="241"/>
      <c r="H22" s="241"/>
      <c r="I22" s="241"/>
      <c r="J22" s="241"/>
      <c r="K22" s="241"/>
    </row>
    <row r="23" s="183" customFormat="1" ht="12.75"/>
    <row r="24" spans="1:2" s="183" customFormat="1" ht="12.75">
      <c r="A24" s="129">
        <v>1</v>
      </c>
      <c r="B24" s="25" t="s">
        <v>220</v>
      </c>
    </row>
    <row r="25" spans="1:2" s="183" customFormat="1" ht="12.75">
      <c r="A25" s="183">
        <v>1</v>
      </c>
      <c r="B25" s="25" t="s">
        <v>104</v>
      </c>
    </row>
    <row r="26" spans="1:2" s="183" customFormat="1" ht="12.75">
      <c r="A26" s="183">
        <v>2</v>
      </c>
      <c r="B26" s="25" t="s">
        <v>98</v>
      </c>
    </row>
    <row r="27" spans="1:2" s="183" customFormat="1" ht="12.75">
      <c r="A27" s="183">
        <v>3</v>
      </c>
      <c r="B27" s="25" t="s">
        <v>99</v>
      </c>
    </row>
    <row r="28" spans="1:2" s="183" customFormat="1" ht="12.75">
      <c r="A28" s="183">
        <v>4</v>
      </c>
      <c r="B28" s="25" t="s">
        <v>100</v>
      </c>
    </row>
    <row r="29" spans="1:2" s="183" customFormat="1" ht="12.75">
      <c r="A29" s="183">
        <v>5</v>
      </c>
      <c r="B29" s="25" t="s">
        <v>101</v>
      </c>
    </row>
    <row r="30" spans="1:2" s="219" customFormat="1" ht="12.75">
      <c r="A30" s="183">
        <v>6</v>
      </c>
      <c r="B30" s="25" t="s">
        <v>102</v>
      </c>
    </row>
    <row r="33" spans="1:13" ht="15" customHeight="1">
      <c r="A33" s="254"/>
      <c r="B33" s="250"/>
      <c r="C33" s="253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ht="15" customHeight="1">
      <c r="A34" s="254"/>
      <c r="B34" s="250"/>
      <c r="C34" s="253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ht="12.7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S160"/>
  <sheetViews>
    <sheetView zoomScale="80" zoomScaleNormal="80" zoomScalePageLayoutView="0" workbookViewId="0" topLeftCell="A1">
      <selection activeCell="J115" sqref="J115"/>
    </sheetView>
  </sheetViews>
  <sheetFormatPr defaultColWidth="17.57421875" defaultRowHeight="12.75"/>
  <cols>
    <col min="1" max="1" width="10.00390625" style="239" customWidth="1"/>
    <col min="2" max="2" width="10.421875" style="239" customWidth="1"/>
    <col min="3" max="3" width="61.421875" style="239" customWidth="1"/>
    <col min="4" max="16384" width="17.57421875" style="239" customWidth="1"/>
  </cols>
  <sheetData>
    <row r="1" ht="12.75">
      <c r="A1" s="240" t="s">
        <v>470</v>
      </c>
    </row>
    <row r="2" ht="12.75">
      <c r="A2" s="240"/>
    </row>
    <row r="3" ht="12.75">
      <c r="A3" s="240"/>
    </row>
    <row r="4" ht="12.75">
      <c r="A4" s="240" t="s">
        <v>179</v>
      </c>
    </row>
    <row r="5" ht="12.75">
      <c r="A5" s="240" t="s">
        <v>181</v>
      </c>
    </row>
    <row r="6" spans="1:2" ht="12.75">
      <c r="A6" s="240" t="s">
        <v>452</v>
      </c>
      <c r="B6" s="239" t="s">
        <v>180</v>
      </c>
    </row>
    <row r="7" spans="2:7" ht="12.75">
      <c r="B7" s="239" t="s">
        <v>182</v>
      </c>
      <c r="D7" s="239" t="s">
        <v>162</v>
      </c>
      <c r="E7" s="239" t="s">
        <v>163</v>
      </c>
      <c r="F7" s="239" t="s">
        <v>162</v>
      </c>
      <c r="G7" s="239" t="s">
        <v>163</v>
      </c>
    </row>
    <row r="8" spans="2:7" ht="12.75">
      <c r="B8" s="239" t="s">
        <v>4</v>
      </c>
      <c r="D8" s="239" t="s">
        <v>2</v>
      </c>
      <c r="E8" s="239" t="s">
        <v>2</v>
      </c>
      <c r="F8" s="239" t="s">
        <v>3</v>
      </c>
      <c r="G8" s="239" t="s">
        <v>3</v>
      </c>
    </row>
    <row r="9" spans="1:9" ht="12.75">
      <c r="A9" s="239" t="s">
        <v>183</v>
      </c>
      <c r="B9" s="239">
        <v>40301101</v>
      </c>
      <c r="C9" s="239" t="s">
        <v>364</v>
      </c>
      <c r="D9" s="248">
        <v>3916.97</v>
      </c>
      <c r="E9" s="248">
        <v>4206.68</v>
      </c>
      <c r="F9" s="248">
        <v>3879.51</v>
      </c>
      <c r="G9" s="248">
        <v>4166.4</v>
      </c>
      <c r="I9" s="239" t="str">
        <f>CONCATENATE(B9," ",C9)</f>
        <v>40301101 Vuosiluokkia 1–6 käsittävän koulun rehtori, 12–23 palkkaperusteryhmää</v>
      </c>
    </row>
    <row r="10" spans="1:9" ht="12.75">
      <c r="A10" s="239" t="s">
        <v>183</v>
      </c>
      <c r="B10" s="239">
        <v>40301201</v>
      </c>
      <c r="C10" s="239" t="s">
        <v>365</v>
      </c>
      <c r="D10" s="248">
        <v>4046.17</v>
      </c>
      <c r="E10" s="248">
        <v>4376.13</v>
      </c>
      <c r="F10" s="248">
        <v>4007.45</v>
      </c>
      <c r="G10" s="248">
        <v>4334.25</v>
      </c>
      <c r="I10" s="239" t="str">
        <f aca="true" t="shared" si="0" ref="I10:I39">CONCATENATE(B10," ",C10)</f>
        <v>40301201 Vuosiluokkia 1–6 käsittävän koulun rehtori, 24–30 palkkaperusteryhmää</v>
      </c>
    </row>
    <row r="11" spans="1:9" ht="12.75">
      <c r="A11" s="239" t="s">
        <v>183</v>
      </c>
      <c r="B11" s="239">
        <v>40301301</v>
      </c>
      <c r="C11" s="239" t="s">
        <v>366</v>
      </c>
      <c r="D11" s="248">
        <v>4206.68</v>
      </c>
      <c r="E11" s="248">
        <v>4566.4</v>
      </c>
      <c r="F11" s="248">
        <v>4166.4</v>
      </c>
      <c r="G11" s="248">
        <v>4522.74</v>
      </c>
      <c r="I11" s="239" t="str">
        <f t="shared" si="0"/>
        <v>40301301 Vuosiluokkia 1–6 käsittävän koulun rehtori, 31– 37 palkkaperusteryhmää</v>
      </c>
    </row>
    <row r="12" spans="1:9" ht="12.75">
      <c r="A12" s="239" t="s">
        <v>183</v>
      </c>
      <c r="B12" s="239">
        <v>40301401</v>
      </c>
      <c r="C12" s="239" t="s">
        <v>367</v>
      </c>
      <c r="D12" s="248">
        <v>4385.49</v>
      </c>
      <c r="E12" s="248"/>
      <c r="F12" s="248">
        <v>4343.5</v>
      </c>
      <c r="G12" s="248"/>
      <c r="I12" s="239" t="str">
        <f t="shared" si="0"/>
        <v>40301401 Vuosiluokkia 1–6 käsittävän koulun rehtori, 38– palkkaperusteryhmää</v>
      </c>
    </row>
    <row r="13" spans="1:9" ht="12.75">
      <c r="A13" s="239" t="s">
        <v>183</v>
      </c>
      <c r="B13" s="239">
        <v>40301102</v>
      </c>
      <c r="C13" s="239" t="s">
        <v>368</v>
      </c>
      <c r="D13" s="248">
        <v>4046.17</v>
      </c>
      <c r="E13" s="248">
        <v>4376.13</v>
      </c>
      <c r="F13" s="248">
        <v>4007.45</v>
      </c>
      <c r="G13" s="248">
        <v>4334.25</v>
      </c>
      <c r="I13" s="239" t="str">
        <f t="shared" si="0"/>
        <v>40301102 Vuosiluokkien 7–9 käsittävän koulun rehtori, –6 palkkaperusteryhmää</v>
      </c>
    </row>
    <row r="14" spans="1:9" ht="12.75">
      <c r="A14" s="239" t="s">
        <v>183</v>
      </c>
      <c r="B14" s="239">
        <v>40301202</v>
      </c>
      <c r="C14" s="239" t="s">
        <v>369</v>
      </c>
      <c r="D14" s="248">
        <v>4376.13</v>
      </c>
      <c r="E14" s="248">
        <v>4760.64</v>
      </c>
      <c r="F14" s="248">
        <v>4334.25</v>
      </c>
      <c r="G14" s="248">
        <v>4715.06</v>
      </c>
      <c r="I14" s="239" t="str">
        <f t="shared" si="0"/>
        <v>40301202 Vuosiluokkia 7–9 käsittävän koulun rehtori, 7–14 palkkaperusteryhmää</v>
      </c>
    </row>
    <row r="15" spans="1:9" ht="12.75">
      <c r="A15" s="239" t="s">
        <v>183</v>
      </c>
      <c r="B15" s="239">
        <v>40301302</v>
      </c>
      <c r="C15" s="239" t="s">
        <v>370</v>
      </c>
      <c r="D15" s="248">
        <v>4566.4</v>
      </c>
      <c r="E15" s="248">
        <v>4958.41</v>
      </c>
      <c r="F15" s="248">
        <v>4522.74</v>
      </c>
      <c r="G15" s="248">
        <v>4910.98</v>
      </c>
      <c r="I15" s="239" t="str">
        <f t="shared" si="0"/>
        <v>40301302 Vuosiluokkia 7–9 käsittävän koulun rehtori, 15–19 palkkaperusteryhmää</v>
      </c>
    </row>
    <row r="16" spans="1:9" ht="12.75">
      <c r="A16" s="239" t="s">
        <v>183</v>
      </c>
      <c r="B16" s="239">
        <v>40301402</v>
      </c>
      <c r="C16" s="239" t="s">
        <v>371</v>
      </c>
      <c r="D16" s="248">
        <v>4760.64</v>
      </c>
      <c r="E16" s="248"/>
      <c r="F16" s="248">
        <v>4715.06</v>
      </c>
      <c r="G16" s="248"/>
      <c r="I16" s="239" t="str">
        <f t="shared" si="0"/>
        <v>40301402 Vuosiluokkia 7–9 käsittävän koulun rehtori, 20–24 palkkaperusteryhmää</v>
      </c>
    </row>
    <row r="17" spans="1:9" ht="12.75">
      <c r="A17" s="239" t="s">
        <v>183</v>
      </c>
      <c r="B17" s="239">
        <v>40301502</v>
      </c>
      <c r="C17" s="239" t="s">
        <v>372</v>
      </c>
      <c r="D17" s="248">
        <v>4962.98</v>
      </c>
      <c r="E17" s="248"/>
      <c r="F17" s="248">
        <v>4915.48</v>
      </c>
      <c r="G17" s="248"/>
      <c r="I17" s="239" t="str">
        <f t="shared" si="0"/>
        <v>40301502 Vuosiluokkia 7–9 käsittävän koulun rehtori, 25– palkkaperusteryhmää</v>
      </c>
    </row>
    <row r="18" spans="1:9" ht="12.75">
      <c r="A18" s="239" t="s">
        <v>183</v>
      </c>
      <c r="B18" s="239">
        <v>40301602</v>
      </c>
      <c r="C18" s="239" t="s">
        <v>471</v>
      </c>
      <c r="D18" s="248">
        <v>5202</v>
      </c>
      <c r="E18" s="248"/>
      <c r="F18" s="248">
        <v>5152.21</v>
      </c>
      <c r="G18" s="248"/>
      <c r="I18" s="239" t="str">
        <f t="shared" si="0"/>
        <v>40301602 Vuosiluokkia 7–9 käsittävän koulun rehtori, 45– palkkaperusteryhmää</v>
      </c>
    </row>
    <row r="19" spans="1:9" ht="12.75">
      <c r="A19" s="239" t="s">
        <v>183</v>
      </c>
      <c r="B19" s="239">
        <v>40301103</v>
      </c>
      <c r="C19" s="239" t="s">
        <v>373</v>
      </c>
      <c r="D19" s="248">
        <v>4046.17</v>
      </c>
      <c r="E19" s="248">
        <v>4376.13</v>
      </c>
      <c r="F19" s="248">
        <v>4007.45</v>
      </c>
      <c r="G19" s="248">
        <v>4334.25</v>
      </c>
      <c r="I19" s="239" t="str">
        <f t="shared" si="0"/>
        <v>40301103 Erityiskoulun rehtori, 6–11 palkkaperusteryhmää</v>
      </c>
    </row>
    <row r="20" spans="1:9" ht="12.75">
      <c r="A20" s="239" t="s">
        <v>183</v>
      </c>
      <c r="B20" s="239">
        <v>40301203</v>
      </c>
      <c r="C20" s="239" t="s">
        <v>374</v>
      </c>
      <c r="D20" s="248">
        <v>4206.68</v>
      </c>
      <c r="E20" s="248">
        <v>4566.4</v>
      </c>
      <c r="F20" s="248">
        <v>4166.4</v>
      </c>
      <c r="G20" s="248">
        <v>4522.74</v>
      </c>
      <c r="I20" s="239" t="str">
        <f t="shared" si="0"/>
        <v>40301203 Erityiskoulun rehtori, 12–20 palkkaperusteryhmää</v>
      </c>
    </row>
    <row r="21" spans="1:9" ht="12.75">
      <c r="A21" s="239" t="s">
        <v>183</v>
      </c>
      <c r="B21" s="239">
        <v>40301303</v>
      </c>
      <c r="C21" s="239" t="s">
        <v>375</v>
      </c>
      <c r="D21" s="248">
        <v>4566.4</v>
      </c>
      <c r="E21" s="248">
        <v>4958.41</v>
      </c>
      <c r="F21" s="248">
        <v>4522.74</v>
      </c>
      <c r="G21" s="248">
        <v>4910.98</v>
      </c>
      <c r="I21" s="239" t="str">
        <f t="shared" si="0"/>
        <v>40301303 Erityiskoulun rehtori, 21–25 palkkaperusteryhmää</v>
      </c>
    </row>
    <row r="22" spans="1:9" ht="12.75">
      <c r="A22" s="239" t="s">
        <v>183</v>
      </c>
      <c r="B22" s="239">
        <v>40301403</v>
      </c>
      <c r="C22" s="239" t="s">
        <v>376</v>
      </c>
      <c r="D22" s="248">
        <v>4760.64</v>
      </c>
      <c r="E22" s="248">
        <v>5187.23</v>
      </c>
      <c r="F22" s="248">
        <v>4715.06</v>
      </c>
      <c r="G22" s="248">
        <v>5137.6</v>
      </c>
      <c r="I22" s="239" t="str">
        <f t="shared" si="0"/>
        <v>40301403 Erityiskoulun rehtori, 26– palkkaperusteryhmää</v>
      </c>
    </row>
    <row r="23" spans="1:9" ht="12.75">
      <c r="A23" s="239" t="s">
        <v>183</v>
      </c>
      <c r="B23" s="239">
        <v>40302000</v>
      </c>
      <c r="C23" s="239" t="s">
        <v>224</v>
      </c>
      <c r="D23" s="248"/>
      <c r="E23" s="248"/>
      <c r="F23" s="248"/>
      <c r="G23" s="248"/>
      <c r="I23" s="239" t="str">
        <f t="shared" si="0"/>
        <v>40302000 Peruskoulun kokonaistyöajassa oleva apulaisrehtori (osio B 5 §)</v>
      </c>
    </row>
    <row r="24" spans="1:9" ht="12.75">
      <c r="A24" s="239" t="s">
        <v>183</v>
      </c>
      <c r="B24" s="239">
        <v>40402000</v>
      </c>
      <c r="C24" s="239" t="s">
        <v>225</v>
      </c>
      <c r="D24" s="248"/>
      <c r="E24" s="248"/>
      <c r="F24" s="248"/>
      <c r="G24" s="248"/>
      <c r="I24" s="239" t="str">
        <f t="shared" si="0"/>
        <v>40402000 Lukion kokonaistyöajassa oleva apulaisrehtori (osio B 5 §)</v>
      </c>
    </row>
    <row r="25" spans="1:9" ht="12.75">
      <c r="A25" s="239" t="s">
        <v>183</v>
      </c>
      <c r="B25" s="239">
        <v>40401005</v>
      </c>
      <c r="C25" s="239" t="s">
        <v>226</v>
      </c>
      <c r="D25" s="248">
        <v>4628.67</v>
      </c>
      <c r="E25" s="248">
        <v>5772.93</v>
      </c>
      <c r="F25" s="248">
        <v>4584.37</v>
      </c>
      <c r="G25" s="248">
        <v>5717.68</v>
      </c>
      <c r="I25" s="239" t="str">
        <f t="shared" si="0"/>
        <v>40401005 Lukion rehtori (osio B 4 §)</v>
      </c>
    </row>
    <row r="26" spans="1:9" ht="12.75">
      <c r="A26" s="239" t="s">
        <v>183</v>
      </c>
      <c r="B26" s="239">
        <v>40401011</v>
      </c>
      <c r="C26" s="239" t="s">
        <v>227</v>
      </c>
      <c r="D26" s="248">
        <v>4628.67</v>
      </c>
      <c r="E26" s="248">
        <v>5772.93</v>
      </c>
      <c r="F26" s="248">
        <v>4584.37</v>
      </c>
      <c r="G26" s="248">
        <v>5717.68</v>
      </c>
      <c r="I26" s="239" t="str">
        <f t="shared" si="0"/>
        <v>40401011 Aikuislukion rehtori (osio B 4 §)</v>
      </c>
    </row>
    <row r="27" spans="1:9" ht="12.75">
      <c r="A27" s="239" t="s">
        <v>183</v>
      </c>
      <c r="B27" s="239">
        <v>40304066</v>
      </c>
      <c r="C27" s="239" t="s">
        <v>228</v>
      </c>
      <c r="D27" s="248">
        <v>3190</v>
      </c>
      <c r="E27" s="248"/>
      <c r="F27" s="248">
        <v>3159.63</v>
      </c>
      <c r="G27" s="248"/>
      <c r="I27" s="239" t="str">
        <f t="shared" si="0"/>
        <v>40304066 Peruskoulun oppilaanohjaaja (osio B 6 §)</v>
      </c>
    </row>
    <row r="28" spans="1:9" ht="12.75">
      <c r="A28" s="239" t="s">
        <v>183</v>
      </c>
      <c r="B28" s="239">
        <v>40304067</v>
      </c>
      <c r="C28" s="239" t="s">
        <v>377</v>
      </c>
      <c r="D28" s="248"/>
      <c r="E28" s="248"/>
      <c r="F28" s="248"/>
      <c r="G28" s="248"/>
      <c r="I28" s="239" t="str">
        <f t="shared" si="0"/>
        <v>40304067 Peruskoulun oppilaanohjaaja, ei kelpoisuutta (osio B 6 § 2 mom.)</v>
      </c>
    </row>
    <row r="29" spans="1:9" ht="12.75">
      <c r="A29" s="239" t="s">
        <v>183</v>
      </c>
      <c r="B29" s="239">
        <v>40404066</v>
      </c>
      <c r="C29" s="239" t="s">
        <v>347</v>
      </c>
      <c r="D29" s="248">
        <v>3997.07</v>
      </c>
      <c r="E29" s="248"/>
      <c r="F29" s="248">
        <v>3963.84</v>
      </c>
      <c r="G29" s="248"/>
      <c r="I29" s="239" t="str">
        <f t="shared" si="0"/>
        <v>40404066 Lukion opinto-ohjaaja (osio B 6a § 1 mom.) </v>
      </c>
    </row>
    <row r="30" spans="1:9" ht="12.75">
      <c r="A30" s="239" t="s">
        <v>183</v>
      </c>
      <c r="B30" s="239">
        <v>40404067</v>
      </c>
      <c r="C30" s="239" t="s">
        <v>348</v>
      </c>
      <c r="D30" s="248"/>
      <c r="E30" s="248"/>
      <c r="F30" s="248"/>
      <c r="G30" s="248"/>
      <c r="I30" s="239" t="str">
        <f t="shared" si="0"/>
        <v>40404067 Lukion opinto-ohjaaja, ei kelpoisuutta (osio B 6a § 2 mom.)</v>
      </c>
    </row>
    <row r="31" spans="1:9" ht="12.75">
      <c r="A31" s="239" t="s">
        <v>183</v>
      </c>
      <c r="B31" s="239">
        <v>40407066</v>
      </c>
      <c r="C31" s="239" t="s">
        <v>472</v>
      </c>
      <c r="D31" s="248">
        <v>3997.07</v>
      </c>
      <c r="E31" s="248"/>
      <c r="F31" s="248">
        <v>3963.84</v>
      </c>
      <c r="G31" s="248"/>
      <c r="I31" s="239" t="str">
        <f t="shared" si="0"/>
        <v>40407066 Lukion opinto-ohjauksen tuntiopettaja (osio B 6a § 1 mom.)</v>
      </c>
    </row>
    <row r="32" spans="1:9" ht="12.75">
      <c r="A32" s="239" t="s">
        <v>183</v>
      </c>
      <c r="B32" s="239">
        <v>40407067</v>
      </c>
      <c r="C32" s="239" t="s">
        <v>473</v>
      </c>
      <c r="D32" s="248"/>
      <c r="E32" s="248"/>
      <c r="F32" s="248"/>
      <c r="G32" s="248"/>
      <c r="I32" s="239" t="str">
        <f t="shared" si="0"/>
        <v>40407067 Lukion opinto-ohjauksen tuntiopettaja, ei kelpoisuutta (osio B 6a § 2 mom.)</v>
      </c>
    </row>
    <row r="33" spans="1:9" ht="12.75">
      <c r="A33" s="239" t="s">
        <v>183</v>
      </c>
      <c r="B33" s="239">
        <v>40404076</v>
      </c>
      <c r="C33" s="239" t="s">
        <v>455</v>
      </c>
      <c r="D33" s="248">
        <v>3997.07</v>
      </c>
      <c r="E33" s="248"/>
      <c r="F33" s="248">
        <v>3963.84</v>
      </c>
      <c r="G33" s="248"/>
      <c r="I33" s="239" t="str">
        <f t="shared" si="0"/>
        <v>40404076 Lukion erityisopettaja (Osio B 6b § 1 mom.)</v>
      </c>
    </row>
    <row r="34" spans="1:9" ht="12.75">
      <c r="A34" s="239" t="s">
        <v>183</v>
      </c>
      <c r="B34" s="239">
        <v>40404077</v>
      </c>
      <c r="C34" s="239" t="s">
        <v>456</v>
      </c>
      <c r="D34" s="248"/>
      <c r="E34" s="248"/>
      <c r="F34" s="248"/>
      <c r="G34" s="248"/>
      <c r="I34" s="239" t="str">
        <f t="shared" si="0"/>
        <v>40404077 Lukion erityisopettaja, ei kelpoisuutta (Osio B 6b § 2 mom.) </v>
      </c>
    </row>
    <row r="35" spans="1:9" ht="12.75">
      <c r="A35" s="239" t="s">
        <v>183</v>
      </c>
      <c r="B35" s="239">
        <v>40407076</v>
      </c>
      <c r="C35" s="239" t="s">
        <v>474</v>
      </c>
      <c r="D35" s="248">
        <v>3997.07</v>
      </c>
      <c r="E35" s="248"/>
      <c r="F35" s="248">
        <v>3963.84</v>
      </c>
      <c r="G35" s="248"/>
      <c r="I35" s="239" t="str">
        <f t="shared" si="0"/>
        <v>40407076 Lukion erityisopetuksen tuntiopettaja (osio B 6b § 1 mom.)</v>
      </c>
    </row>
    <row r="36" spans="1:9" ht="12.75">
      <c r="A36" s="239" t="s">
        <v>183</v>
      </c>
      <c r="B36" s="239">
        <v>40407077</v>
      </c>
      <c r="C36" s="239" t="s">
        <v>475</v>
      </c>
      <c r="D36" s="248"/>
      <c r="E36" s="248"/>
      <c r="F36" s="248"/>
      <c r="G36" s="248"/>
      <c r="I36" s="239" t="str">
        <f t="shared" si="0"/>
        <v>40407077 Lukion erityisopetuksen tuntiopettaja, ei kelpoisuutta (osio B 6b § 2 mom.)</v>
      </c>
    </row>
    <row r="37" spans="1:9" ht="12.75">
      <c r="A37" s="239" t="s">
        <v>184</v>
      </c>
      <c r="B37" s="239">
        <v>40304005</v>
      </c>
      <c r="C37" s="239" t="s">
        <v>378</v>
      </c>
      <c r="D37" s="248">
        <v>3036.54</v>
      </c>
      <c r="E37" s="248"/>
      <c r="F37" s="248">
        <v>3007.81</v>
      </c>
      <c r="G37" s="248"/>
      <c r="I37" s="239" t="str">
        <f t="shared" si="0"/>
        <v>40304005 Lehtori/ylempi korkeakoulututkinto ja perus-/lukio-opetusta antavan opettajan kelpoisuus tai aiempi vanhemman lehtorin kelpoisuus</v>
      </c>
    </row>
    <row r="38" spans="1:9" ht="12.75">
      <c r="A38" s="239" t="s">
        <v>184</v>
      </c>
      <c r="B38" s="239">
        <v>40304007</v>
      </c>
      <c r="C38" s="239" t="s">
        <v>379</v>
      </c>
      <c r="D38" s="248">
        <v>2830.88</v>
      </c>
      <c r="E38" s="248"/>
      <c r="F38" s="248">
        <v>2804.13</v>
      </c>
      <c r="G38" s="248"/>
      <c r="I38" s="239" t="str">
        <f t="shared" si="0"/>
        <v>40304007 Lehtori/muu kuin em. perus-, aineen-, luokan- tai erityisopetuksen opettajan kelpoisuus</v>
      </c>
    </row>
    <row r="39" spans="1:9" ht="12.75">
      <c r="A39" s="239" t="s">
        <v>184</v>
      </c>
      <c r="B39" s="239">
        <v>40304008</v>
      </c>
      <c r="C39" s="239" t="s">
        <v>380</v>
      </c>
      <c r="D39" s="248">
        <v>2481.36</v>
      </c>
      <c r="E39" s="248"/>
      <c r="F39" s="248">
        <v>2457.89</v>
      </c>
      <c r="G39" s="248"/>
      <c r="I39" s="239" t="str">
        <f t="shared" si="0"/>
        <v>40304008 Lehtori/ylempi korkeakoulututkinto</v>
      </c>
    </row>
    <row r="40" spans="1:7" ht="12.75">
      <c r="A40" s="239" t="s">
        <v>184</v>
      </c>
      <c r="B40" s="239">
        <v>40304009</v>
      </c>
      <c r="C40" s="239" t="s">
        <v>381</v>
      </c>
      <c r="D40" s="248">
        <v>2375.13</v>
      </c>
      <c r="E40" s="248"/>
      <c r="F40" s="248">
        <v>2352.68</v>
      </c>
      <c r="G40" s="248"/>
    </row>
    <row r="41" spans="1:7" ht="12.75">
      <c r="A41" s="239" t="s">
        <v>184</v>
      </c>
      <c r="B41" s="239">
        <v>40304010</v>
      </c>
      <c r="C41" s="239" t="s">
        <v>382</v>
      </c>
      <c r="D41" s="248">
        <v>2246.87</v>
      </c>
      <c r="E41" s="248"/>
      <c r="F41" s="248">
        <v>2226.07</v>
      </c>
      <c r="G41" s="248"/>
    </row>
    <row r="42" spans="1:7" ht="12.75">
      <c r="A42" s="239" t="s">
        <v>184</v>
      </c>
      <c r="B42" s="239">
        <v>40304012</v>
      </c>
      <c r="C42" s="239" t="s">
        <v>383</v>
      </c>
      <c r="D42" s="248">
        <v>3057.62</v>
      </c>
      <c r="E42" s="248"/>
      <c r="F42" s="248">
        <v>3028.71</v>
      </c>
      <c r="G42" s="248"/>
    </row>
    <row r="43" spans="1:7" ht="12.75">
      <c r="A43" s="239" t="s">
        <v>184</v>
      </c>
      <c r="B43" s="239">
        <v>40304014</v>
      </c>
      <c r="C43" s="239" t="s">
        <v>384</v>
      </c>
      <c r="D43" s="248">
        <v>2950.71</v>
      </c>
      <c r="E43" s="248"/>
      <c r="F43" s="248">
        <v>2922.79</v>
      </c>
      <c r="G43" s="248"/>
    </row>
    <row r="44" spans="1:7" ht="12.75">
      <c r="A44" s="239" t="s">
        <v>184</v>
      </c>
      <c r="B44" s="239">
        <v>40304013</v>
      </c>
      <c r="C44" s="239" t="s">
        <v>385</v>
      </c>
      <c r="D44" s="248">
        <v>2856.12</v>
      </c>
      <c r="E44" s="248"/>
      <c r="F44" s="248">
        <v>2829.08</v>
      </c>
      <c r="G44" s="248"/>
    </row>
    <row r="45" spans="1:7" ht="12.75">
      <c r="A45" s="239" t="s">
        <v>184</v>
      </c>
      <c r="B45" s="239">
        <v>40304015</v>
      </c>
      <c r="C45" s="239" t="s">
        <v>386</v>
      </c>
      <c r="D45" s="248">
        <v>2811.59</v>
      </c>
      <c r="E45" s="248"/>
      <c r="F45" s="248">
        <v>2785.02</v>
      </c>
      <c r="G45" s="248"/>
    </row>
    <row r="46" spans="1:7" ht="12.75">
      <c r="A46" s="239" t="s">
        <v>184</v>
      </c>
      <c r="B46" s="239">
        <v>40304016</v>
      </c>
      <c r="C46" s="239" t="s">
        <v>387</v>
      </c>
      <c r="D46" s="248">
        <v>2694.65</v>
      </c>
      <c r="E46" s="248"/>
      <c r="F46" s="248">
        <v>2669.22</v>
      </c>
      <c r="G46" s="248"/>
    </row>
    <row r="47" spans="1:7" ht="12.75">
      <c r="A47" s="239" t="s">
        <v>184</v>
      </c>
      <c r="B47" s="239">
        <v>40304017</v>
      </c>
      <c r="C47" s="239" t="s">
        <v>388</v>
      </c>
      <c r="D47" s="248">
        <v>2355.22</v>
      </c>
      <c r="E47" s="248"/>
      <c r="F47" s="248">
        <v>2333.19</v>
      </c>
      <c r="G47" s="248"/>
    </row>
    <row r="48" spans="1:7" ht="12.75">
      <c r="A48" s="239" t="s">
        <v>184</v>
      </c>
      <c r="B48" s="239">
        <v>40304028</v>
      </c>
      <c r="C48" s="239" t="s">
        <v>389</v>
      </c>
      <c r="D48" s="248">
        <v>3036.54</v>
      </c>
      <c r="E48" s="248"/>
      <c r="F48" s="248">
        <v>3007.81</v>
      </c>
      <c r="G48" s="248"/>
    </row>
    <row r="49" spans="1:7" ht="12.75">
      <c r="A49" s="239" t="s">
        <v>184</v>
      </c>
      <c r="B49" s="239">
        <v>40304030</v>
      </c>
      <c r="C49" s="239" t="s">
        <v>390</v>
      </c>
      <c r="D49" s="248">
        <v>2826.78</v>
      </c>
      <c r="E49" s="248"/>
      <c r="F49" s="248">
        <v>2800.06</v>
      </c>
      <c r="G49" s="248"/>
    </row>
    <row r="50" spans="1:7" ht="12.75">
      <c r="A50" s="239" t="s">
        <v>184</v>
      </c>
      <c r="B50" s="239">
        <v>40304031</v>
      </c>
      <c r="C50" s="239" t="s">
        <v>391</v>
      </c>
      <c r="D50" s="248">
        <v>2720.83</v>
      </c>
      <c r="E50" s="248"/>
      <c r="F50" s="248">
        <v>2695.08</v>
      </c>
      <c r="G50" s="248"/>
    </row>
    <row r="51" spans="1:7" ht="12.75">
      <c r="A51" s="239" t="s">
        <v>184</v>
      </c>
      <c r="B51" s="239">
        <v>40304098</v>
      </c>
      <c r="C51" s="239" t="s">
        <v>493</v>
      </c>
      <c r="D51" s="248">
        <v>2222.24</v>
      </c>
      <c r="E51" s="248"/>
      <c r="F51" s="248">
        <v>2201.84</v>
      </c>
      <c r="G51" s="248"/>
    </row>
    <row r="52" spans="1:7" ht="12.75">
      <c r="A52" s="239" t="s">
        <v>184</v>
      </c>
      <c r="B52" s="239">
        <v>40304033</v>
      </c>
      <c r="C52" s="239" t="s">
        <v>392</v>
      </c>
      <c r="D52" s="248">
        <v>2121.45</v>
      </c>
      <c r="E52" s="248"/>
      <c r="F52" s="248">
        <v>2102.79</v>
      </c>
      <c r="G52" s="248"/>
    </row>
    <row r="53" spans="1:7" ht="12.75">
      <c r="A53" s="239" t="s">
        <v>184</v>
      </c>
      <c r="B53" s="239">
        <v>40304020</v>
      </c>
      <c r="C53" s="239" t="s">
        <v>393</v>
      </c>
      <c r="D53" s="248">
        <v>2439.23</v>
      </c>
      <c r="E53" s="248"/>
      <c r="F53" s="248">
        <v>2416.15</v>
      </c>
      <c r="G53" s="248"/>
    </row>
    <row r="54" spans="1:7" ht="12.75">
      <c r="A54" s="239" t="s">
        <v>184</v>
      </c>
      <c r="B54" s="239">
        <v>40304024</v>
      </c>
      <c r="C54" s="239" t="s">
        <v>494</v>
      </c>
      <c r="D54" s="248">
        <v>2439.23</v>
      </c>
      <c r="E54" s="248"/>
      <c r="F54" s="248">
        <v>2416.15</v>
      </c>
      <c r="G54" s="248"/>
    </row>
    <row r="55" spans="1:7" ht="12.75">
      <c r="A55" s="239" t="s">
        <v>184</v>
      </c>
      <c r="B55" s="239">
        <v>40304021</v>
      </c>
      <c r="C55" s="239" t="s">
        <v>394</v>
      </c>
      <c r="D55" s="248">
        <v>2388.48</v>
      </c>
      <c r="E55" s="248"/>
      <c r="F55" s="248">
        <v>2365.85</v>
      </c>
      <c r="G55" s="248"/>
    </row>
    <row r="56" spans="1:7" ht="12.75">
      <c r="A56" s="239" t="s">
        <v>184</v>
      </c>
      <c r="B56" s="239">
        <v>40304022</v>
      </c>
      <c r="C56" s="239" t="s">
        <v>185</v>
      </c>
      <c r="D56" s="248">
        <v>2058.71</v>
      </c>
      <c r="E56" s="248"/>
      <c r="F56" s="248">
        <v>2041.84</v>
      </c>
      <c r="G56" s="248"/>
    </row>
    <row r="57" spans="1:7" ht="12.75">
      <c r="A57" s="239" t="s">
        <v>184</v>
      </c>
      <c r="B57" s="239">
        <v>40307038</v>
      </c>
      <c r="C57" s="239" t="s">
        <v>395</v>
      </c>
      <c r="D57" s="248">
        <v>3036.54</v>
      </c>
      <c r="E57" s="248"/>
      <c r="F57" s="248">
        <v>3007.81</v>
      </c>
      <c r="G57" s="248"/>
    </row>
    <row r="58" spans="1:7" ht="12.75">
      <c r="A58" s="239" t="s">
        <v>184</v>
      </c>
      <c r="B58" s="239">
        <v>40307040</v>
      </c>
      <c r="C58" s="239" t="s">
        <v>396</v>
      </c>
      <c r="D58" s="248">
        <v>2830.88</v>
      </c>
      <c r="E58" s="248"/>
      <c r="F58" s="248">
        <v>2804.13</v>
      </c>
      <c r="G58" s="248"/>
    </row>
    <row r="59" spans="1:7" ht="12.75">
      <c r="A59" s="239" t="s">
        <v>184</v>
      </c>
      <c r="B59" s="239">
        <v>40307041</v>
      </c>
      <c r="C59" s="239" t="s">
        <v>397</v>
      </c>
      <c r="D59" s="248">
        <v>2481.36</v>
      </c>
      <c r="E59" s="248"/>
      <c r="F59" s="248">
        <v>2457.89</v>
      </c>
      <c r="G59" s="248"/>
    </row>
    <row r="60" spans="1:7" ht="12.75">
      <c r="A60" s="239" t="s">
        <v>184</v>
      </c>
      <c r="B60" s="239">
        <v>40307042</v>
      </c>
      <c r="C60" s="239" t="s">
        <v>398</v>
      </c>
      <c r="D60" s="248">
        <v>2375.13</v>
      </c>
      <c r="E60" s="248"/>
      <c r="F60" s="248">
        <v>2352.68</v>
      </c>
      <c r="G60" s="248"/>
    </row>
    <row r="61" spans="1:7" ht="12.75">
      <c r="A61" s="239" t="s">
        <v>184</v>
      </c>
      <c r="B61" s="239">
        <v>40307043</v>
      </c>
      <c r="C61" s="239" t="s">
        <v>399</v>
      </c>
      <c r="D61" s="248">
        <v>2246.87</v>
      </c>
      <c r="E61" s="248"/>
      <c r="F61" s="248">
        <v>2226.07</v>
      </c>
      <c r="G61" s="248"/>
    </row>
    <row r="62" spans="1:7" ht="12.75">
      <c r="A62" s="239" t="s">
        <v>184</v>
      </c>
      <c r="B62" s="239">
        <v>40307044</v>
      </c>
      <c r="C62" s="239" t="s">
        <v>400</v>
      </c>
      <c r="D62" s="248">
        <v>3057.62</v>
      </c>
      <c r="E62" s="248"/>
      <c r="F62" s="248">
        <v>3028.71</v>
      </c>
      <c r="G62" s="248"/>
    </row>
    <row r="63" spans="1:7" ht="12.75">
      <c r="A63" s="239" t="s">
        <v>184</v>
      </c>
      <c r="B63" s="239">
        <v>40307046</v>
      </c>
      <c r="C63" s="239" t="s">
        <v>401</v>
      </c>
      <c r="D63" s="248">
        <v>2950.71</v>
      </c>
      <c r="E63" s="248"/>
      <c r="F63" s="248">
        <v>2922.79</v>
      </c>
      <c r="G63" s="248"/>
    </row>
    <row r="64" spans="1:7" ht="12.75">
      <c r="A64" s="239" t="s">
        <v>184</v>
      </c>
      <c r="B64" s="239">
        <v>40307045</v>
      </c>
      <c r="C64" s="239" t="s">
        <v>402</v>
      </c>
      <c r="D64" s="248">
        <v>2856.12</v>
      </c>
      <c r="E64" s="248"/>
      <c r="F64" s="248">
        <v>2829.08</v>
      </c>
      <c r="G64" s="248"/>
    </row>
    <row r="65" spans="1:7" ht="12.75">
      <c r="A65" s="239" t="s">
        <v>184</v>
      </c>
      <c r="B65" s="239">
        <v>40307047</v>
      </c>
      <c r="C65" s="239" t="s">
        <v>403</v>
      </c>
      <c r="D65" s="248">
        <v>2811.59</v>
      </c>
      <c r="E65" s="248"/>
      <c r="F65" s="248">
        <v>2785.02</v>
      </c>
      <c r="G65" s="248"/>
    </row>
    <row r="66" spans="1:7" ht="12.75">
      <c r="A66" s="239" t="s">
        <v>184</v>
      </c>
      <c r="B66" s="239">
        <v>40307048</v>
      </c>
      <c r="C66" s="239" t="s">
        <v>404</v>
      </c>
      <c r="D66" s="248">
        <v>2694.65</v>
      </c>
      <c r="E66" s="248"/>
      <c r="F66" s="248">
        <v>2669.22</v>
      </c>
      <c r="G66" s="248"/>
    </row>
    <row r="67" spans="1:7" ht="12.75">
      <c r="A67" s="239" t="s">
        <v>184</v>
      </c>
      <c r="B67" s="239">
        <v>40307049</v>
      </c>
      <c r="C67" s="239" t="s">
        <v>405</v>
      </c>
      <c r="D67" s="248">
        <v>2355.22</v>
      </c>
      <c r="E67" s="248"/>
      <c r="F67" s="248">
        <v>2333.19</v>
      </c>
      <c r="G67" s="248"/>
    </row>
    <row r="68" spans="1:7" ht="12.75">
      <c r="A68" s="239" t="s">
        <v>184</v>
      </c>
      <c r="B68" s="239">
        <v>40307054</v>
      </c>
      <c r="C68" s="239" t="s">
        <v>406</v>
      </c>
      <c r="D68" s="248">
        <v>3036.54</v>
      </c>
      <c r="E68" s="248"/>
      <c r="F68" s="248">
        <v>3007.81</v>
      </c>
      <c r="G68" s="248"/>
    </row>
    <row r="69" spans="1:7" ht="12.75">
      <c r="A69" s="239" t="s">
        <v>184</v>
      </c>
      <c r="B69" s="239">
        <v>40307056</v>
      </c>
      <c r="C69" s="239" t="s">
        <v>407</v>
      </c>
      <c r="D69" s="248">
        <v>2826.78</v>
      </c>
      <c r="E69" s="248"/>
      <c r="F69" s="248">
        <v>2800.06</v>
      </c>
      <c r="G69" s="248"/>
    </row>
    <row r="70" spans="1:7" ht="12.75">
      <c r="A70" s="239" t="s">
        <v>184</v>
      </c>
      <c r="B70" s="239">
        <v>40307057</v>
      </c>
      <c r="C70" s="239" t="s">
        <v>408</v>
      </c>
      <c r="D70" s="248">
        <v>2720.83</v>
      </c>
      <c r="E70" s="248"/>
      <c r="F70" s="248">
        <v>2695.08</v>
      </c>
      <c r="G70" s="248"/>
    </row>
    <row r="71" spans="1:7" ht="12.75">
      <c r="A71" s="239" t="s">
        <v>184</v>
      </c>
      <c r="B71" s="239">
        <v>40307099</v>
      </c>
      <c r="C71" s="239" t="s">
        <v>495</v>
      </c>
      <c r="D71" s="248">
        <v>2222.24</v>
      </c>
      <c r="E71" s="248"/>
      <c r="F71" s="248">
        <v>2201.84</v>
      </c>
      <c r="G71" s="248"/>
    </row>
    <row r="72" spans="1:7" ht="12.75">
      <c r="A72" s="239" t="s">
        <v>184</v>
      </c>
      <c r="B72" s="239">
        <v>40307059</v>
      </c>
      <c r="C72" s="239" t="s">
        <v>409</v>
      </c>
      <c r="D72" s="248">
        <v>2121.45</v>
      </c>
      <c r="E72" s="248"/>
      <c r="F72" s="248">
        <v>2102.79</v>
      </c>
      <c r="G72" s="248"/>
    </row>
    <row r="73" spans="1:7" ht="12.75">
      <c r="A73" s="239" t="s">
        <v>184</v>
      </c>
      <c r="B73" s="239">
        <v>40307062</v>
      </c>
      <c r="C73" s="239" t="s">
        <v>410</v>
      </c>
      <c r="D73" s="248">
        <v>2439.23</v>
      </c>
      <c r="E73" s="248"/>
      <c r="F73" s="248">
        <v>2416.15</v>
      </c>
      <c r="G73" s="248"/>
    </row>
    <row r="74" spans="1:7" ht="12.75">
      <c r="A74" s="239" t="s">
        <v>184</v>
      </c>
      <c r="B74" s="239">
        <v>40307065</v>
      </c>
      <c r="C74" s="239" t="s">
        <v>496</v>
      </c>
      <c r="D74" s="248">
        <v>2439.23</v>
      </c>
      <c r="E74" s="248"/>
      <c r="F74" s="248">
        <v>2416.15</v>
      </c>
      <c r="G74" s="248"/>
    </row>
    <row r="75" spans="1:7" ht="12.75">
      <c r="A75" s="239" t="s">
        <v>184</v>
      </c>
      <c r="B75" s="239">
        <v>40307063</v>
      </c>
      <c r="C75" s="239" t="s">
        <v>411</v>
      </c>
      <c r="D75" s="248">
        <v>2388.48</v>
      </c>
      <c r="E75" s="248"/>
      <c r="F75" s="248">
        <v>2365.85</v>
      </c>
      <c r="G75" s="248"/>
    </row>
    <row r="76" spans="1:7" ht="12.75">
      <c r="A76" s="239" t="s">
        <v>184</v>
      </c>
      <c r="B76" s="239">
        <v>40307064</v>
      </c>
      <c r="C76" s="239" t="s">
        <v>186</v>
      </c>
      <c r="D76" s="248">
        <v>2058.71</v>
      </c>
      <c r="E76" s="248"/>
      <c r="F76" s="248">
        <v>2041.84</v>
      </c>
      <c r="G76" s="248"/>
    </row>
    <row r="77" spans="1:7" ht="12.75">
      <c r="A77" s="239" t="s">
        <v>187</v>
      </c>
      <c r="B77" s="239">
        <v>40404017</v>
      </c>
      <c r="C77" s="239" t="s">
        <v>412</v>
      </c>
      <c r="D77" s="248">
        <v>3188.3</v>
      </c>
      <c r="E77" s="248"/>
      <c r="F77" s="248">
        <v>3158.19</v>
      </c>
      <c r="G77" s="248"/>
    </row>
    <row r="78" spans="1:7" ht="12.75">
      <c r="A78" s="239" t="s">
        <v>187</v>
      </c>
      <c r="B78" s="239">
        <v>40404018</v>
      </c>
      <c r="C78" s="239" t="s">
        <v>413</v>
      </c>
      <c r="D78" s="248">
        <v>3042.83</v>
      </c>
      <c r="E78" s="248"/>
      <c r="F78" s="248">
        <v>3014</v>
      </c>
      <c r="G78" s="248"/>
    </row>
    <row r="79" spans="1:7" ht="12.75">
      <c r="A79" s="239" t="s">
        <v>187</v>
      </c>
      <c r="B79" s="239">
        <v>40404022</v>
      </c>
      <c r="C79" s="239" t="s">
        <v>381</v>
      </c>
      <c r="D79" s="248">
        <v>2568</v>
      </c>
      <c r="E79" s="248"/>
      <c r="F79" s="248">
        <v>2543.75</v>
      </c>
      <c r="G79" s="248"/>
    </row>
    <row r="80" spans="1:7" ht="12.75">
      <c r="A80" s="239" t="s">
        <v>187</v>
      </c>
      <c r="B80" s="239">
        <v>40404023</v>
      </c>
      <c r="C80" s="239" t="s">
        <v>414</v>
      </c>
      <c r="D80" s="248">
        <v>2275.26</v>
      </c>
      <c r="E80" s="248"/>
      <c r="F80" s="248">
        <v>2254.21</v>
      </c>
      <c r="G80" s="248"/>
    </row>
    <row r="81" spans="1:7" ht="12.75">
      <c r="A81" s="239" t="s">
        <v>187</v>
      </c>
      <c r="B81" s="239">
        <v>40407037</v>
      </c>
      <c r="C81" s="239" t="s">
        <v>415</v>
      </c>
      <c r="D81" s="248">
        <v>3188.3</v>
      </c>
      <c r="E81" s="248"/>
      <c r="F81" s="248">
        <v>3158.19</v>
      </c>
      <c r="G81" s="248"/>
    </row>
    <row r="82" spans="1:7" ht="12.75">
      <c r="A82" s="239" t="s">
        <v>187</v>
      </c>
      <c r="B82" s="239">
        <v>40407039</v>
      </c>
      <c r="C82" s="239" t="s">
        <v>416</v>
      </c>
      <c r="D82" s="248">
        <v>2762.88</v>
      </c>
      <c r="E82" s="248"/>
      <c r="F82" s="248">
        <v>2736.76</v>
      </c>
      <c r="G82" s="248"/>
    </row>
    <row r="83" spans="1:7" ht="12.75">
      <c r="A83" s="239" t="s">
        <v>187</v>
      </c>
      <c r="B83" s="239">
        <v>40407042</v>
      </c>
      <c r="C83" s="239" t="s">
        <v>417</v>
      </c>
      <c r="D83" s="248">
        <v>2454.44</v>
      </c>
      <c r="E83" s="248"/>
      <c r="F83" s="248">
        <v>2431.22</v>
      </c>
      <c r="G83" s="248"/>
    </row>
    <row r="84" spans="1:7" ht="12.75">
      <c r="A84" s="239" t="s">
        <v>187</v>
      </c>
      <c r="B84" s="239">
        <v>40407041</v>
      </c>
      <c r="C84" s="239" t="s">
        <v>418</v>
      </c>
      <c r="D84" s="248">
        <v>2275.26</v>
      </c>
      <c r="E84" s="248"/>
      <c r="F84" s="248">
        <v>2254.21</v>
      </c>
      <c r="G84" s="248"/>
    </row>
    <row r="85" spans="1:7" ht="12.75">
      <c r="A85" s="239" t="s">
        <v>188</v>
      </c>
      <c r="B85" s="239">
        <v>40404024</v>
      </c>
      <c r="C85" s="239" t="s">
        <v>419</v>
      </c>
      <c r="D85" s="248">
        <v>3188.3</v>
      </c>
      <c r="E85" s="248"/>
      <c r="F85" s="248">
        <v>3158.19</v>
      </c>
      <c r="G85" s="248"/>
    </row>
    <row r="86" spans="1:7" ht="12.75">
      <c r="A86" s="239" t="s">
        <v>188</v>
      </c>
      <c r="B86" s="239">
        <v>40404025</v>
      </c>
      <c r="C86" s="239" t="s">
        <v>420</v>
      </c>
      <c r="D86" s="248">
        <v>3039.86</v>
      </c>
      <c r="E86" s="248"/>
      <c r="F86" s="248">
        <v>3011.08</v>
      </c>
      <c r="G86" s="248"/>
    </row>
    <row r="87" spans="1:7" ht="12.75">
      <c r="A87" s="239" t="s">
        <v>188</v>
      </c>
      <c r="B87" s="239">
        <v>40404027</v>
      </c>
      <c r="C87" s="239" t="s">
        <v>189</v>
      </c>
      <c r="D87" s="248">
        <v>2570.56</v>
      </c>
      <c r="E87" s="248"/>
      <c r="F87" s="248">
        <v>2546.28</v>
      </c>
      <c r="G87" s="248"/>
    </row>
    <row r="88" spans="1:7" ht="12.75">
      <c r="A88" s="239" t="s">
        <v>188</v>
      </c>
      <c r="B88" s="239">
        <v>40404026</v>
      </c>
      <c r="C88" s="239" t="s">
        <v>421</v>
      </c>
      <c r="D88" s="248">
        <v>2276.38</v>
      </c>
      <c r="E88" s="248"/>
      <c r="F88" s="248">
        <v>2255.31</v>
      </c>
      <c r="G88" s="248"/>
    </row>
    <row r="89" spans="1:7" ht="12.75">
      <c r="A89" s="239" t="s">
        <v>188</v>
      </c>
      <c r="B89" s="239">
        <v>40407050</v>
      </c>
      <c r="C89" s="239" t="s">
        <v>415</v>
      </c>
      <c r="D89" s="248">
        <v>3188.3</v>
      </c>
      <c r="E89" s="248"/>
      <c r="F89" s="248">
        <v>3158.19</v>
      </c>
      <c r="G89" s="248"/>
    </row>
    <row r="90" spans="1:7" ht="12.75">
      <c r="A90" s="239" t="s">
        <v>188</v>
      </c>
      <c r="B90" s="239">
        <v>40407051</v>
      </c>
      <c r="C90" s="239" t="s">
        <v>422</v>
      </c>
      <c r="D90" s="248">
        <v>2762.88</v>
      </c>
      <c r="E90" s="248"/>
      <c r="F90" s="248">
        <v>2736.76</v>
      </c>
      <c r="G90" s="248"/>
    </row>
    <row r="91" spans="1:7" ht="12.75">
      <c r="A91" s="239" t="s">
        <v>188</v>
      </c>
      <c r="B91" s="239">
        <v>40407053</v>
      </c>
      <c r="C91" s="239" t="s">
        <v>417</v>
      </c>
      <c r="D91" s="248">
        <v>2454.44</v>
      </c>
      <c r="E91" s="248"/>
      <c r="F91" s="248">
        <v>2431.22</v>
      </c>
      <c r="G91" s="248"/>
    </row>
    <row r="92" spans="1:7" ht="12.75">
      <c r="A92" s="239" t="s">
        <v>188</v>
      </c>
      <c r="B92" s="239">
        <v>40407054</v>
      </c>
      <c r="C92" s="239" t="s">
        <v>423</v>
      </c>
      <c r="D92" s="248">
        <v>2275.26</v>
      </c>
      <c r="E92" s="248"/>
      <c r="F92" s="248">
        <v>2254.21</v>
      </c>
      <c r="G92" s="248"/>
    </row>
    <row r="93" spans="1:7" ht="12.75">
      <c r="A93" s="239" t="s">
        <v>190</v>
      </c>
      <c r="B93" s="239">
        <v>40901024</v>
      </c>
      <c r="C93" s="239" t="s">
        <v>424</v>
      </c>
      <c r="D93" s="248">
        <v>4159.07</v>
      </c>
      <c r="E93" s="248"/>
      <c r="F93" s="248">
        <v>4119.21</v>
      </c>
      <c r="G93" s="248"/>
    </row>
    <row r="94" spans="1:7" ht="12.75">
      <c r="A94" s="239" t="s">
        <v>190</v>
      </c>
      <c r="B94" s="239">
        <v>40003001</v>
      </c>
      <c r="C94" s="239" t="s">
        <v>425</v>
      </c>
      <c r="D94" s="248">
        <v>3949.53</v>
      </c>
      <c r="E94" s="248"/>
      <c r="F94" s="248">
        <v>3911.58</v>
      </c>
      <c r="G94" s="248"/>
    </row>
    <row r="95" spans="1:7" ht="12.75">
      <c r="A95" s="239" t="s">
        <v>190</v>
      </c>
      <c r="B95" s="239">
        <v>40003002</v>
      </c>
      <c r="C95" s="239" t="s">
        <v>191</v>
      </c>
      <c r="D95" s="248">
        <v>3812.86</v>
      </c>
      <c r="E95" s="248"/>
      <c r="F95" s="248">
        <v>3775.92</v>
      </c>
      <c r="G95" s="248"/>
    </row>
    <row r="96" spans="1:7" ht="12.75">
      <c r="A96" s="239" t="s">
        <v>193</v>
      </c>
      <c r="B96" s="239">
        <v>40801002</v>
      </c>
      <c r="C96" s="239" t="s">
        <v>424</v>
      </c>
      <c r="D96" s="248">
        <v>3845.55</v>
      </c>
      <c r="E96" s="248">
        <v>4841.61</v>
      </c>
      <c r="F96" s="248">
        <v>3808.64</v>
      </c>
      <c r="G96" s="248">
        <v>4795.11</v>
      </c>
    </row>
    <row r="97" spans="1:7" ht="12.75">
      <c r="A97" s="239" t="s">
        <v>193</v>
      </c>
      <c r="B97" s="239">
        <v>40802005</v>
      </c>
      <c r="C97" s="239" t="s">
        <v>435</v>
      </c>
      <c r="D97" s="248">
        <v>3460.54</v>
      </c>
      <c r="E97" s="248">
        <v>4278.18</v>
      </c>
      <c r="F97" s="248">
        <v>3427.29</v>
      </c>
      <c r="G97" s="248">
        <v>4237.11</v>
      </c>
    </row>
    <row r="98" spans="1:7" ht="12.75">
      <c r="A98" s="239" t="s">
        <v>193</v>
      </c>
      <c r="B98" s="239">
        <v>40804012</v>
      </c>
      <c r="C98" s="239" t="s">
        <v>436</v>
      </c>
      <c r="D98" s="248">
        <v>2701.96</v>
      </c>
      <c r="E98" s="248"/>
      <c r="F98" s="248">
        <v>2676.25</v>
      </c>
      <c r="G98" s="248"/>
    </row>
    <row r="99" spans="1:7" ht="12.75">
      <c r="A99" s="239" t="s">
        <v>193</v>
      </c>
      <c r="B99" s="239">
        <v>40804014</v>
      </c>
      <c r="C99" s="239" t="s">
        <v>437</v>
      </c>
      <c r="D99" s="248">
        <v>2631.25</v>
      </c>
      <c r="E99" s="248"/>
      <c r="F99" s="248">
        <v>2606.23</v>
      </c>
      <c r="G99" s="248"/>
    </row>
    <row r="100" spans="1:7" ht="12.75">
      <c r="A100" s="239" t="s">
        <v>193</v>
      </c>
      <c r="B100" s="239">
        <v>40804013</v>
      </c>
      <c r="C100" s="239" t="s">
        <v>438</v>
      </c>
      <c r="D100" s="248">
        <v>2367.61</v>
      </c>
      <c r="E100" s="248"/>
      <c r="F100" s="248">
        <v>2345.09</v>
      </c>
      <c r="G100" s="248"/>
    </row>
    <row r="101" spans="1:7" ht="12.75">
      <c r="A101" s="239" t="s">
        <v>193</v>
      </c>
      <c r="B101" s="239">
        <v>40804008</v>
      </c>
      <c r="C101" s="239" t="s">
        <v>439</v>
      </c>
      <c r="D101" s="248">
        <v>2701.96</v>
      </c>
      <c r="E101" s="248"/>
      <c r="F101" s="248">
        <v>2676.25</v>
      </c>
      <c r="G101" s="248"/>
    </row>
    <row r="102" spans="1:7" ht="12.75">
      <c r="A102" s="239" t="s">
        <v>193</v>
      </c>
      <c r="B102" s="239">
        <v>40807026</v>
      </c>
      <c r="C102" s="239" t="s">
        <v>428</v>
      </c>
      <c r="D102" s="248">
        <v>2475.32</v>
      </c>
      <c r="E102" s="248"/>
      <c r="F102" s="248">
        <v>2451.73</v>
      </c>
      <c r="G102" s="248"/>
    </row>
    <row r="103" spans="1:7" ht="12.75">
      <c r="A103" s="239" t="s">
        <v>193</v>
      </c>
      <c r="B103" s="239">
        <v>40807028</v>
      </c>
      <c r="C103" s="239" t="s">
        <v>440</v>
      </c>
      <c r="D103" s="248">
        <v>2426.01</v>
      </c>
      <c r="E103" s="248"/>
      <c r="F103" s="248">
        <v>2402.9</v>
      </c>
      <c r="G103" s="248"/>
    </row>
    <row r="104" spans="1:7" ht="12.75">
      <c r="A104" s="239" t="s">
        <v>193</v>
      </c>
      <c r="B104" s="239">
        <v>40807027</v>
      </c>
      <c r="C104" s="239" t="s">
        <v>441</v>
      </c>
      <c r="D104" s="248">
        <v>2259.1</v>
      </c>
      <c r="E104" s="248"/>
      <c r="F104" s="248">
        <v>2238.06</v>
      </c>
      <c r="G104" s="248"/>
    </row>
    <row r="105" spans="1:7" ht="12.75">
      <c r="A105" s="239" t="s">
        <v>194</v>
      </c>
      <c r="B105" s="239">
        <v>40501001</v>
      </c>
      <c r="C105" s="239" t="s">
        <v>442</v>
      </c>
      <c r="D105" s="248">
        <v>3358.41</v>
      </c>
      <c r="E105" s="248">
        <v>3915.71</v>
      </c>
      <c r="F105" s="248">
        <v>3332.74</v>
      </c>
      <c r="G105" s="248">
        <v>3878.19</v>
      </c>
    </row>
    <row r="106" spans="1:7" ht="12.75">
      <c r="A106" s="239" t="s">
        <v>194</v>
      </c>
      <c r="B106" s="239">
        <v>40501002</v>
      </c>
      <c r="C106" s="239" t="s">
        <v>443</v>
      </c>
      <c r="D106" s="248">
        <v>3358.41</v>
      </c>
      <c r="E106" s="248">
        <v>3915.71</v>
      </c>
      <c r="F106" s="248">
        <v>3332.74</v>
      </c>
      <c r="G106" s="248">
        <v>3878.19</v>
      </c>
    </row>
    <row r="107" spans="1:7" ht="12.75">
      <c r="A107" s="239" t="s">
        <v>194</v>
      </c>
      <c r="B107" s="239">
        <v>40504004</v>
      </c>
      <c r="C107" s="239" t="s">
        <v>444</v>
      </c>
      <c r="D107" s="248">
        <v>2303.68</v>
      </c>
      <c r="E107" s="248">
        <v>2612.25</v>
      </c>
      <c r="F107" s="248">
        <v>2283.35</v>
      </c>
      <c r="G107" s="248">
        <v>2587.27</v>
      </c>
    </row>
    <row r="108" spans="1:7" ht="12.75">
      <c r="A108" s="239" t="s">
        <v>194</v>
      </c>
      <c r="B108" s="239">
        <v>40504005</v>
      </c>
      <c r="C108" s="239" t="s">
        <v>445</v>
      </c>
      <c r="D108" s="248">
        <v>2390.53</v>
      </c>
      <c r="E108" s="248">
        <v>2757.46</v>
      </c>
      <c r="F108" s="248">
        <v>2368.82</v>
      </c>
      <c r="G108" s="248">
        <v>2731.07</v>
      </c>
    </row>
    <row r="109" spans="1:7" ht="12.75">
      <c r="A109" s="249" t="s">
        <v>196</v>
      </c>
      <c r="B109" s="249">
        <v>40601001</v>
      </c>
      <c r="C109" s="249" t="s">
        <v>424</v>
      </c>
      <c r="D109" s="248">
        <v>3810.08</v>
      </c>
      <c r="E109" s="248">
        <v>4601.23</v>
      </c>
      <c r="F109" s="248">
        <v>3773.61</v>
      </c>
      <c r="G109" s="248">
        <v>4558.79</v>
      </c>
    </row>
    <row r="110" spans="1:7" ht="12.75">
      <c r="A110" s="249" t="s">
        <v>196</v>
      </c>
      <c r="B110" s="249">
        <v>40602002</v>
      </c>
      <c r="C110" s="249" t="s">
        <v>435</v>
      </c>
      <c r="D110" s="248">
        <v>3225.69</v>
      </c>
      <c r="E110" s="248">
        <v>4076.99</v>
      </c>
      <c r="F110" s="248">
        <v>3194.82</v>
      </c>
      <c r="G110" s="248">
        <v>4038.01</v>
      </c>
    </row>
    <row r="111" spans="1:7" ht="12.75">
      <c r="A111" s="249" t="s">
        <v>196</v>
      </c>
      <c r="B111" s="249">
        <v>40604006</v>
      </c>
      <c r="C111" s="249" t="s">
        <v>436</v>
      </c>
      <c r="D111" s="248">
        <v>2714.45</v>
      </c>
      <c r="E111" s="248"/>
      <c r="F111" s="248">
        <v>2688.73</v>
      </c>
      <c r="G111" s="248"/>
    </row>
    <row r="112" spans="1:7" ht="12.75">
      <c r="A112" s="249" t="s">
        <v>196</v>
      </c>
      <c r="B112" s="249">
        <v>40604007</v>
      </c>
      <c r="C112" s="249" t="s">
        <v>446</v>
      </c>
      <c r="D112" s="248">
        <v>2442.35</v>
      </c>
      <c r="E112" s="248"/>
      <c r="F112" s="248">
        <v>2419.22</v>
      </c>
      <c r="G112" s="248"/>
    </row>
    <row r="113" spans="1:7" ht="12.75">
      <c r="A113" s="249" t="s">
        <v>196</v>
      </c>
      <c r="B113" s="249">
        <v>40604008</v>
      </c>
      <c r="C113" s="249" t="s">
        <v>447</v>
      </c>
      <c r="D113" s="248">
        <v>3005.27</v>
      </c>
      <c r="E113" s="248">
        <v>3335.25</v>
      </c>
      <c r="F113" s="248"/>
      <c r="G113" s="248"/>
    </row>
    <row r="114" spans="1:7" ht="12.75">
      <c r="A114" s="249" t="s">
        <v>196</v>
      </c>
      <c r="B114" s="249">
        <v>40604009</v>
      </c>
      <c r="C114" s="249" t="s">
        <v>448</v>
      </c>
      <c r="D114" s="248">
        <v>2718.1</v>
      </c>
      <c r="E114" s="248">
        <v>2957.88</v>
      </c>
      <c r="F114" s="248"/>
      <c r="G114" s="248"/>
    </row>
    <row r="115" spans="1:7" ht="12.75">
      <c r="A115" s="239" t="s">
        <v>198</v>
      </c>
      <c r="B115" s="239">
        <v>40701011</v>
      </c>
      <c r="C115" s="239" t="s">
        <v>424</v>
      </c>
      <c r="D115" s="248">
        <v>3703.35</v>
      </c>
      <c r="E115" s="248">
        <v>4428.39</v>
      </c>
      <c r="F115" s="248">
        <v>3667.93</v>
      </c>
      <c r="G115" s="248">
        <v>4370.49</v>
      </c>
    </row>
    <row r="116" spans="1:7" ht="12.75">
      <c r="A116" s="239" t="s">
        <v>198</v>
      </c>
      <c r="B116" s="239">
        <v>40704021</v>
      </c>
      <c r="C116" s="239" t="s">
        <v>449</v>
      </c>
      <c r="D116" s="248">
        <v>3433.38</v>
      </c>
      <c r="E116" s="248"/>
      <c r="F116" s="248">
        <v>3400.81</v>
      </c>
      <c r="G116" s="248"/>
    </row>
    <row r="117" spans="1:7" ht="12.75">
      <c r="A117" s="239" t="s">
        <v>198</v>
      </c>
      <c r="B117" s="239">
        <v>40704022</v>
      </c>
      <c r="C117" s="239" t="s">
        <v>450</v>
      </c>
      <c r="D117" s="248">
        <v>3347.4</v>
      </c>
      <c r="E117" s="248"/>
      <c r="F117" s="248">
        <v>3315.64</v>
      </c>
      <c r="G117" s="248"/>
    </row>
    <row r="118" spans="1:7" ht="12.75">
      <c r="A118" s="239" t="s">
        <v>198</v>
      </c>
      <c r="B118" s="239">
        <v>40704023</v>
      </c>
      <c r="C118" s="239" t="s">
        <v>451</v>
      </c>
      <c r="D118" s="248">
        <v>2873.98</v>
      </c>
      <c r="E118" s="248"/>
      <c r="F118" s="248">
        <v>2846.72</v>
      </c>
      <c r="G118" s="248"/>
    </row>
    <row r="119" spans="1:14" ht="12.75">
      <c r="A119" s="239" t="s">
        <v>461</v>
      </c>
      <c r="B119" s="239">
        <v>45000020</v>
      </c>
      <c r="C119" s="239" t="s">
        <v>462</v>
      </c>
      <c r="D119" s="248">
        <v>2777.54</v>
      </c>
      <c r="E119" s="248"/>
      <c r="F119" s="248"/>
      <c r="G119" s="248"/>
      <c r="I119" s="248"/>
      <c r="J119" s="248"/>
      <c r="K119" s="248"/>
      <c r="L119" s="248"/>
      <c r="M119" s="248"/>
      <c r="N119" s="248"/>
    </row>
    <row r="120" spans="1:7" ht="12.75">
      <c r="A120" s="239" t="s">
        <v>461</v>
      </c>
      <c r="B120" s="239">
        <v>45000030</v>
      </c>
      <c r="C120" s="239" t="s">
        <v>463</v>
      </c>
      <c r="D120" s="248">
        <v>2777.54</v>
      </c>
      <c r="E120" s="248"/>
      <c r="F120" s="248"/>
      <c r="G120" s="248"/>
    </row>
    <row r="121" spans="1:14" ht="12.75">
      <c r="A121" s="239" t="s">
        <v>461</v>
      </c>
      <c r="B121" s="239">
        <v>45000042</v>
      </c>
      <c r="C121" s="239" t="s">
        <v>464</v>
      </c>
      <c r="D121" s="248">
        <v>2684.41</v>
      </c>
      <c r="E121" s="248"/>
      <c r="F121" s="248"/>
      <c r="G121" s="248"/>
      <c r="M121" s="248"/>
      <c r="N121" s="248"/>
    </row>
    <row r="122" spans="1:14" ht="12.75">
      <c r="A122" s="239" t="s">
        <v>461</v>
      </c>
      <c r="B122" s="239">
        <v>45000044</v>
      </c>
      <c r="C122" s="239" t="s">
        <v>465</v>
      </c>
      <c r="D122" s="248">
        <v>2468.37</v>
      </c>
      <c r="E122" s="248"/>
      <c r="F122" s="248"/>
      <c r="G122" s="248"/>
      <c r="I122" s="248"/>
      <c r="J122" s="248"/>
      <c r="K122" s="248"/>
      <c r="L122" s="248"/>
      <c r="M122" s="248"/>
      <c r="N122" s="248"/>
    </row>
    <row r="123" spans="4:14" ht="12.75">
      <c r="D123" s="248"/>
      <c r="E123" s="248"/>
      <c r="F123" s="248"/>
      <c r="G123" s="248"/>
      <c r="I123" s="248"/>
      <c r="J123" s="248"/>
      <c r="K123" s="248"/>
      <c r="L123" s="248"/>
      <c r="M123" s="248"/>
      <c r="N123" s="248"/>
    </row>
    <row r="124" spans="4:18" ht="12.75">
      <c r="D124" s="248"/>
      <c r="E124" s="248"/>
      <c r="F124" s="248"/>
      <c r="G124" s="248"/>
      <c r="I124" s="248"/>
      <c r="J124" s="248"/>
      <c r="K124" s="248"/>
      <c r="L124" s="248"/>
      <c r="M124" s="248"/>
      <c r="N124" s="248"/>
      <c r="R124" s="248"/>
    </row>
    <row r="125" spans="1:19" s="248" customFormat="1" ht="12.75">
      <c r="A125" s="239"/>
      <c r="B125" s="239"/>
      <c r="C125" s="239"/>
      <c r="D125" s="239"/>
      <c r="E125" s="239"/>
      <c r="F125" s="239"/>
      <c r="G125" s="239"/>
      <c r="Q125" s="239"/>
      <c r="S125" s="239"/>
    </row>
    <row r="126" spans="1:19" s="248" customFormat="1" ht="12.75">
      <c r="A126" s="240" t="s">
        <v>362</v>
      </c>
      <c r="B126" s="239"/>
      <c r="C126" s="239"/>
      <c r="D126" s="239"/>
      <c r="E126" s="239"/>
      <c r="F126" s="239"/>
      <c r="G126" s="239"/>
      <c r="Q126" s="239"/>
      <c r="R126" s="239"/>
      <c r="S126" s="239"/>
    </row>
    <row r="127" spans="4:15" ht="12.75">
      <c r="D127" s="239" t="s">
        <v>169</v>
      </c>
      <c r="E127" s="239" t="s">
        <v>169</v>
      </c>
      <c r="F127" s="239" t="s">
        <v>169</v>
      </c>
      <c r="G127" s="239" t="s">
        <v>169</v>
      </c>
      <c r="H127" s="239" t="s">
        <v>169</v>
      </c>
      <c r="I127" s="239" t="s">
        <v>169</v>
      </c>
      <c r="J127" s="239" t="s">
        <v>170</v>
      </c>
      <c r="K127" s="239" t="s">
        <v>170</v>
      </c>
      <c r="L127" s="239" t="s">
        <v>170</v>
      </c>
      <c r="M127" s="239" t="s">
        <v>170</v>
      </c>
      <c r="N127" s="239" t="s">
        <v>170</v>
      </c>
      <c r="O127" s="239" t="s">
        <v>170</v>
      </c>
    </row>
    <row r="128" spans="4:15" ht="12.75">
      <c r="D128" s="248" t="s">
        <v>159</v>
      </c>
      <c r="E128" s="248" t="s">
        <v>335</v>
      </c>
      <c r="F128" s="248" t="s">
        <v>334</v>
      </c>
      <c r="G128" s="248" t="s">
        <v>160</v>
      </c>
      <c r="H128" s="248" t="s">
        <v>161</v>
      </c>
      <c r="I128" s="248" t="s">
        <v>336</v>
      </c>
      <c r="J128" s="248" t="s">
        <v>159</v>
      </c>
      <c r="K128" s="248" t="s">
        <v>335</v>
      </c>
      <c r="L128" s="248" t="s">
        <v>334</v>
      </c>
      <c r="M128" s="248" t="s">
        <v>160</v>
      </c>
      <c r="N128" s="248" t="s">
        <v>161</v>
      </c>
      <c r="O128" s="248" t="s">
        <v>336</v>
      </c>
    </row>
    <row r="129" spans="1:15" ht="12.75">
      <c r="A129" s="239" t="s">
        <v>361</v>
      </c>
      <c r="B129" s="251">
        <v>41103003</v>
      </c>
      <c r="C129" s="239" t="s">
        <v>426</v>
      </c>
      <c r="D129" s="239">
        <v>3586.66</v>
      </c>
      <c r="E129" s="239">
        <v>3785.05</v>
      </c>
      <c r="F129" s="239">
        <v>3925.24</v>
      </c>
      <c r="G129" s="239">
        <v>4143.95</v>
      </c>
      <c r="H129" s="239">
        <v>4375.78</v>
      </c>
      <c r="I129" s="239">
        <v>4621.54</v>
      </c>
      <c r="J129" s="239">
        <v>3552.6</v>
      </c>
      <c r="K129" s="239">
        <v>3749.11</v>
      </c>
      <c r="L129" s="239">
        <v>3887.99</v>
      </c>
      <c r="M129" s="239">
        <v>4104.62</v>
      </c>
      <c r="N129" s="239">
        <v>4334.26</v>
      </c>
      <c r="O129" s="239">
        <v>4577.66</v>
      </c>
    </row>
    <row r="130" spans="1:15" ht="12.75">
      <c r="A130" s="239" t="s">
        <v>361</v>
      </c>
      <c r="B130" s="251">
        <v>41103004</v>
      </c>
      <c r="C130" s="239" t="s">
        <v>192</v>
      </c>
      <c r="D130" s="239">
        <v>3286.26</v>
      </c>
      <c r="E130" s="239">
        <v>3351.98</v>
      </c>
      <c r="F130" s="239">
        <v>3452.54</v>
      </c>
      <c r="G130" s="239">
        <v>3625.15</v>
      </c>
      <c r="H130" s="239">
        <v>3913.6</v>
      </c>
      <c r="I130" s="239">
        <v>4070.14</v>
      </c>
      <c r="J130" s="239">
        <v>3254.6</v>
      </c>
      <c r="K130" s="239">
        <v>3319.68</v>
      </c>
      <c r="L130" s="239">
        <v>3419.28</v>
      </c>
      <c r="M130" s="239">
        <v>3590.28</v>
      </c>
      <c r="N130" s="239">
        <v>3875.9</v>
      </c>
      <c r="O130" s="239">
        <v>4030.94</v>
      </c>
    </row>
    <row r="131" spans="1:15" ht="12.75">
      <c r="A131" s="239" t="s">
        <v>361</v>
      </c>
      <c r="B131" s="251">
        <v>41104001</v>
      </c>
      <c r="C131" s="239" t="s">
        <v>427</v>
      </c>
      <c r="D131" s="239">
        <v>3586.66</v>
      </c>
      <c r="E131" s="239">
        <v>3785.05</v>
      </c>
      <c r="F131" s="239">
        <v>3925.24</v>
      </c>
      <c r="G131" s="239">
        <v>4143.95</v>
      </c>
      <c r="H131" s="239">
        <v>4375.78</v>
      </c>
      <c r="I131" s="239">
        <v>4621.54</v>
      </c>
      <c r="J131" s="239">
        <v>3552.6</v>
      </c>
      <c r="K131" s="239">
        <v>3749.11</v>
      </c>
      <c r="L131" s="239">
        <v>3887.99</v>
      </c>
      <c r="M131" s="239">
        <v>4104.62</v>
      </c>
      <c r="N131" s="239">
        <v>4334.26</v>
      </c>
      <c r="O131" s="239">
        <v>4577.66</v>
      </c>
    </row>
    <row r="132" spans="1:15" ht="12.75">
      <c r="A132" s="239" t="s">
        <v>361</v>
      </c>
      <c r="B132" s="251">
        <v>41107001</v>
      </c>
      <c r="C132" s="239" t="s">
        <v>428</v>
      </c>
      <c r="D132" s="239">
        <v>3586.66</v>
      </c>
      <c r="E132" s="239">
        <v>3785.05</v>
      </c>
      <c r="F132" s="239">
        <v>3925.24</v>
      </c>
      <c r="G132" s="239">
        <v>4143.95</v>
      </c>
      <c r="H132" s="239">
        <v>4375.78</v>
      </c>
      <c r="I132" s="239">
        <v>4621.54</v>
      </c>
      <c r="J132" s="239">
        <v>3552.6</v>
      </c>
      <c r="K132" s="239">
        <v>3749.11</v>
      </c>
      <c r="L132" s="239">
        <v>3887.99</v>
      </c>
      <c r="M132" s="239">
        <v>4104.62</v>
      </c>
      <c r="N132" s="239">
        <v>4334.26</v>
      </c>
      <c r="O132" s="239">
        <v>4577.66</v>
      </c>
    </row>
    <row r="133" spans="1:15" ht="12.75">
      <c r="A133" s="248" t="s">
        <v>361</v>
      </c>
      <c r="B133" s="252">
        <v>41104002</v>
      </c>
      <c r="C133" s="248" t="s">
        <v>429</v>
      </c>
      <c r="D133" s="239">
        <v>3123.29</v>
      </c>
      <c r="E133" s="239">
        <v>3296.06</v>
      </c>
      <c r="F133" s="239">
        <v>3418.15</v>
      </c>
      <c r="G133" s="239">
        <v>3608.61</v>
      </c>
      <c r="H133" s="239">
        <v>3810.49</v>
      </c>
      <c r="I133" s="239">
        <v>4024.49</v>
      </c>
      <c r="J133" s="239">
        <v>3093.65</v>
      </c>
      <c r="K133" s="239">
        <v>3264.79</v>
      </c>
      <c r="L133" s="239">
        <v>3385.71</v>
      </c>
      <c r="M133" s="239">
        <v>3574.36</v>
      </c>
      <c r="N133" s="239">
        <v>3774.33</v>
      </c>
      <c r="O133" s="239">
        <v>3986.29</v>
      </c>
    </row>
    <row r="134" spans="1:15" ht="12.75">
      <c r="A134" s="248" t="s">
        <v>361</v>
      </c>
      <c r="B134" s="252">
        <v>41107002</v>
      </c>
      <c r="C134" s="248" t="s">
        <v>430</v>
      </c>
      <c r="D134" s="239">
        <v>3123.29</v>
      </c>
      <c r="E134" s="239">
        <v>3296.06</v>
      </c>
      <c r="F134" s="239">
        <v>3418.15</v>
      </c>
      <c r="G134" s="239">
        <v>3608.61</v>
      </c>
      <c r="H134" s="239">
        <v>3810.49</v>
      </c>
      <c r="I134" s="239">
        <v>4024.49</v>
      </c>
      <c r="J134" s="239">
        <v>3093.65</v>
      </c>
      <c r="K134" s="239">
        <v>3264.79</v>
      </c>
      <c r="L134" s="239">
        <v>3385.71</v>
      </c>
      <c r="M134" s="239">
        <v>3574.36</v>
      </c>
      <c r="N134" s="239">
        <v>3774.33</v>
      </c>
      <c r="O134" s="239">
        <v>3986.29</v>
      </c>
    </row>
    <row r="135" spans="1:15" ht="12.75">
      <c r="A135" s="239" t="s">
        <v>361</v>
      </c>
      <c r="B135" s="251">
        <v>41104003</v>
      </c>
      <c r="C135" s="239" t="s">
        <v>431</v>
      </c>
      <c r="D135" s="239">
        <v>2916.45</v>
      </c>
      <c r="E135" s="239">
        <v>3077.77</v>
      </c>
      <c r="F135" s="239">
        <v>3191.77</v>
      </c>
      <c r="G135" s="239">
        <v>3369.62</v>
      </c>
      <c r="H135" s="239">
        <v>3558.14</v>
      </c>
      <c r="I135" s="239">
        <v>3757.96</v>
      </c>
      <c r="J135" s="239">
        <v>2888.82</v>
      </c>
      <c r="K135" s="239">
        <v>3048.62</v>
      </c>
      <c r="L135" s="239">
        <v>3161.53</v>
      </c>
      <c r="M135" s="239">
        <v>3337.71</v>
      </c>
      <c r="N135" s="239">
        <v>3524.43</v>
      </c>
      <c r="O135" s="239">
        <v>3722.36</v>
      </c>
    </row>
    <row r="136" spans="1:15" ht="12.75">
      <c r="A136" s="239" t="s">
        <v>361</v>
      </c>
      <c r="B136" s="251">
        <v>41107003</v>
      </c>
      <c r="C136" s="239" t="s">
        <v>432</v>
      </c>
      <c r="D136" s="239">
        <v>2916.45</v>
      </c>
      <c r="E136" s="239">
        <v>3077.77</v>
      </c>
      <c r="F136" s="239">
        <v>3191.77</v>
      </c>
      <c r="G136" s="239">
        <v>3369.62</v>
      </c>
      <c r="H136" s="239">
        <v>3558.14</v>
      </c>
      <c r="I136" s="239">
        <v>3757.96</v>
      </c>
      <c r="J136" s="239">
        <v>2888.82</v>
      </c>
      <c r="K136" s="239">
        <v>3048.62</v>
      </c>
      <c r="L136" s="239">
        <v>3161.53</v>
      </c>
      <c r="M136" s="239">
        <v>3337.71</v>
      </c>
      <c r="N136" s="239">
        <v>3524.43</v>
      </c>
      <c r="O136" s="239">
        <v>3722.36</v>
      </c>
    </row>
    <row r="137" spans="1:15" ht="12.75">
      <c r="A137" s="239" t="s">
        <v>361</v>
      </c>
      <c r="B137" s="251">
        <v>41104004</v>
      </c>
      <c r="C137" s="239" t="s">
        <v>433</v>
      </c>
      <c r="D137" s="239">
        <v>2848.17</v>
      </c>
      <c r="E137" s="239">
        <v>3005.72</v>
      </c>
      <c r="F137" s="239">
        <v>3117.06</v>
      </c>
      <c r="G137" s="239">
        <v>3290.73</v>
      </c>
      <c r="H137" s="239">
        <v>3474.83</v>
      </c>
      <c r="I137" s="239">
        <v>3669.98</v>
      </c>
      <c r="J137" s="239">
        <v>2821.1</v>
      </c>
      <c r="K137" s="239">
        <v>2977.18</v>
      </c>
      <c r="L137" s="239">
        <v>3087.45</v>
      </c>
      <c r="M137" s="239">
        <v>3259.48</v>
      </c>
      <c r="N137" s="239">
        <v>3441.83</v>
      </c>
      <c r="O137" s="239">
        <v>3635.12</v>
      </c>
    </row>
    <row r="138" spans="1:15" ht="12.75">
      <c r="A138" s="239" t="s">
        <v>361</v>
      </c>
      <c r="B138" s="251">
        <v>41107004</v>
      </c>
      <c r="C138" s="239" t="s">
        <v>434</v>
      </c>
      <c r="D138" s="239">
        <v>2848.17</v>
      </c>
      <c r="E138" s="239">
        <v>3005.72</v>
      </c>
      <c r="F138" s="239">
        <v>3117.06</v>
      </c>
      <c r="G138" s="239">
        <v>3290.73</v>
      </c>
      <c r="H138" s="239">
        <v>3474.83</v>
      </c>
      <c r="I138" s="239">
        <v>3669.98</v>
      </c>
      <c r="J138" s="239">
        <v>2821.1</v>
      </c>
      <c r="K138" s="239">
        <v>2977.18</v>
      </c>
      <c r="L138" s="239">
        <v>3087.45</v>
      </c>
      <c r="M138" s="239">
        <v>3259.48</v>
      </c>
      <c r="N138" s="239">
        <v>3441.83</v>
      </c>
      <c r="O138" s="239">
        <v>3635.12</v>
      </c>
    </row>
    <row r="140" ht="12.75">
      <c r="A140" s="240" t="s">
        <v>199</v>
      </c>
    </row>
    <row r="141" ht="12.75">
      <c r="A141" s="240"/>
    </row>
    <row r="142" ht="12.75">
      <c r="A142" s="240" t="s">
        <v>200</v>
      </c>
    </row>
    <row r="144" spans="1:4" ht="12.75">
      <c r="A144" s="239" t="s">
        <v>193</v>
      </c>
      <c r="B144" s="239">
        <v>40807029</v>
      </c>
      <c r="C144" s="239" t="s">
        <v>230</v>
      </c>
      <c r="D144" s="239">
        <v>29.25</v>
      </c>
    </row>
    <row r="145" spans="1:4" ht="12.75">
      <c r="A145" s="239" t="s">
        <v>193</v>
      </c>
      <c r="B145" s="239">
        <v>40807030</v>
      </c>
      <c r="C145" s="239" t="s">
        <v>231</v>
      </c>
      <c r="D145" s="239">
        <v>28.7</v>
      </c>
    </row>
    <row r="146" spans="1:4" ht="12.75">
      <c r="A146" s="239" t="s">
        <v>193</v>
      </c>
      <c r="B146" s="239">
        <v>40807031</v>
      </c>
      <c r="C146" s="239" t="s">
        <v>201</v>
      </c>
      <c r="D146" s="239">
        <v>26.89</v>
      </c>
    </row>
    <row r="148" ht="12.75">
      <c r="A148" s="240" t="s">
        <v>202</v>
      </c>
    </row>
    <row r="149" spans="4:5" ht="12.75">
      <c r="D149" s="239" t="s">
        <v>162</v>
      </c>
      <c r="E149" s="239" t="s">
        <v>163</v>
      </c>
    </row>
    <row r="150" spans="1:5" ht="12.75">
      <c r="A150" s="239" t="s">
        <v>194</v>
      </c>
      <c r="B150" s="239">
        <v>40507040</v>
      </c>
      <c r="C150" s="239" t="s">
        <v>195</v>
      </c>
      <c r="D150" s="239">
        <v>25.71</v>
      </c>
      <c r="E150" s="239">
        <v>32.93</v>
      </c>
    </row>
    <row r="153" ht="12.75">
      <c r="A153" s="240" t="s">
        <v>203</v>
      </c>
    </row>
    <row r="154" spans="4:5" ht="12.75">
      <c r="D154" s="239" t="s">
        <v>162</v>
      </c>
      <c r="E154" s="239" t="s">
        <v>163</v>
      </c>
    </row>
    <row r="155" spans="1:5" ht="12.75">
      <c r="A155" s="239" t="s">
        <v>196</v>
      </c>
      <c r="B155" s="239">
        <v>40607033</v>
      </c>
      <c r="C155" s="239" t="s">
        <v>197</v>
      </c>
      <c r="D155" s="239">
        <v>26.18</v>
      </c>
      <c r="E155" s="239">
        <v>30.02</v>
      </c>
    </row>
    <row r="158" ht="12.75">
      <c r="A158" s="240" t="s">
        <v>204</v>
      </c>
    </row>
    <row r="159" spans="4:5" ht="12.75">
      <c r="D159" s="239" t="s">
        <v>162</v>
      </c>
      <c r="E159" s="239" t="s">
        <v>163</v>
      </c>
    </row>
    <row r="160" spans="1:5" ht="12.75">
      <c r="A160" s="239" t="s">
        <v>198</v>
      </c>
      <c r="B160" s="239">
        <v>40707033</v>
      </c>
      <c r="C160" s="239" t="s">
        <v>229</v>
      </c>
      <c r="D160" s="239">
        <v>26.18</v>
      </c>
      <c r="E160" s="239">
        <v>30.02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1.4.2021 lukien</dc:title>
  <dc:subject/>
  <dc:creator>Kunnallinen työmarkkinalaitos</dc:creator>
  <cp:keywords/>
  <dc:description/>
  <cp:lastModifiedBy>Mattila Marjaana</cp:lastModifiedBy>
  <cp:lastPrinted>2008-05-12T08:11:22Z</cp:lastPrinted>
  <dcterms:created xsi:type="dcterms:W3CDTF">2000-02-01T07:49:18Z</dcterms:created>
  <dcterms:modified xsi:type="dcterms:W3CDTF">2022-09-12T04:08:10Z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0x01010088286040FA2D154ABC04B9E51A3A93CF</vt:lpwstr>
  </property>
</Properties>
</file>