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2044" windowHeight="7140" activeTab="0"/>
  </bookViews>
  <sheets>
    <sheet name="KÄYTTÖTAULU" sheetId="1" r:id="rId1"/>
    <sheet name="muut muuttujat" sheetId="2" state="hidden" r:id="rId2"/>
    <sheet name="virheet" sheetId="3" state="hidden" r:id="rId3"/>
    <sheet name="laskenta" sheetId="4" state="hidden" r:id="rId4"/>
    <sheet name="vuosityö ja aikk laskenta" sheetId="5" state="hidden" r:id="rId5"/>
    <sheet name="1.6.2023" sheetId="6" state="hidden" r:id="rId6"/>
    <sheet name="Taul1" sheetId="7" state="hidden" r:id="rId7"/>
  </sheets>
  <externalReferences>
    <externalReference r:id="rId10"/>
    <externalReference r:id="rId11"/>
  </externalReference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4.xml><?xml version="1.0" encoding="utf-8"?>
<comments xmlns="http://schemas.openxmlformats.org/spreadsheetml/2006/main">
  <authors>
    <author>Freund Hannu</author>
  </authors>
  <commentList>
    <comment ref="Q116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21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<sst xmlns="http://schemas.openxmlformats.org/spreadsheetml/2006/main" count="1213" uniqueCount="649">
  <si>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</si>
  <si>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</si>
  <si>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</si>
  <si>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</si>
  <si>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</si>
  <si>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</si>
  <si>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</si>
  <si>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</si>
  <si>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</si>
  <si>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</si>
  <si>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</si>
  <si>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</si>
  <si>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</si>
  <si>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</si>
  <si>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</si>
  <si>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</si>
  <si>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</si>
  <si>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</si>
  <si>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</si>
  <si>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</si>
  <si>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</si>
  <si>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</si>
  <si>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</si>
  <si>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</si>
  <si>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</si>
  <si>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</si>
  <si>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</si>
  <si>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</si>
  <si>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</si>
  <si>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</si>
  <si>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</si>
  <si>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</si>
  <si>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</si>
  <si>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</si>
  <si>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</si>
  <si>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</si>
  <si>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</si>
  <si>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</si>
  <si>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</si>
  <si>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</si>
  <si>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</si>
  <si>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</si>
  <si>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</si>
  <si>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</si>
  <si>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</si>
  <si>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</si>
  <si>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</si>
  <si>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</si>
  <si>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</si>
  <si>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</si>
  <si>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</si>
  <si>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</si>
  <si>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</si>
  <si>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</si>
  <si>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</si>
  <si>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</si>
  <si>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</si>
  <si>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</si>
  <si>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</si>
  <si>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</si>
  <si>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</si>
  <si>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</si>
  <si>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</si>
  <si>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</si>
  <si>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</si>
  <si>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</si>
  <si>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</si>
  <si>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</si>
  <si>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</si>
  <si>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</si>
  <si>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</si>
  <si>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</si>
  <si>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</si>
  <si>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</si>
  <si>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</si>
  <si>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</si>
  <si>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</si>
  <si>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</si>
  <si>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</si>
  <si>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</si>
  <si>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</si>
  <si>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</si>
  <si>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</si>
  <si>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</si>
  <si>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</si>
  <si>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</si>
  <si>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</si>
  <si>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</si>
  <si>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</si>
  <si>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</si>
  <si>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</si>
  <si>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</si>
  <si>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</si>
  <si>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</si>
  <si>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</si>
  <si>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</si>
  <si>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</si>
  <si>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</si>
  <si>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</si>
  <si>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</si>
  <si>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</si>
  <si>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</si>
  <si>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</si>
  <si>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</si>
  <si>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</si>
  <si>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</si>
  <si>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</si>
  <si>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</si>
  <si>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</si>
  <si>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</si>
  <si>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</si>
  <si>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</si>
  <si>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</si>
  <si>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</si>
  <si>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</si>
  <si>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</si>
  <si>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</si>
  <si>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</si>
  <si>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</si>
  <si>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</si>
  <si>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</si>
  <si>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</si>
  <si>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</si>
  <si>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</si>
  <si>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</si>
  <si>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</si>
  <si>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</si>
  <si>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</si>
  <si>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</si>
  <si>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</si>
  <si>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</si>
  <si>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</si>
  <si>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</si>
  <si>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</si>
  <si>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</si>
  <si>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</si>
  <si>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</si>
  <si>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</si>
  <si>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</si>
  <si>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</si>
  <si>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</si>
  <si>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</si>
  <si>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</si>
  <si>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</si>
  <si>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</si>
  <si>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</si>
  <si>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</si>
  <si>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</si>
  <si>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</si>
  <si>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</si>
  <si>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</si>
  <si>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</si>
  <si>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</si>
  <si>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</si>
  <si>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</si>
  <si>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</si>
  <si>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</si>
  <si>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</si>
  <si>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</si>
  <si>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</si>
  <si>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</si>
  <si>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</si>
  <si>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Alaraja</t>
  </si>
  <si>
    <t>Yläraja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</si>
  <si>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</si>
  <si>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</si>
  <si>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</si>
  <si>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</si>
  <si>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</si>
  <si>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</si>
  <si>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</si>
  <si>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</si>
  <si>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</si>
  <si>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</si>
  <si>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</si>
  <si>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</si>
  <si>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</si>
  <si>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</si>
  <si>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</si>
  <si>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</si>
  <si>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</si>
  <si>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</si>
  <si>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</si>
  <si>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</si>
  <si>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</si>
  <si>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</si>
  <si>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</si>
  <si>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</si>
  <si>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</si>
  <si>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</si>
  <si>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</si>
  <si>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</si>
  <si>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</si>
  <si>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</si>
  <si>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</si>
  <si>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</si>
  <si>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</si>
  <si>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</si>
  <si>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</si>
  <si>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</si>
  <si>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</si>
  <si>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</si>
  <si>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</si>
  <si>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</si>
  <si>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</si>
  <si>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</si>
  <si>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</si>
  <si>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</si>
  <si>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</si>
  <si>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</si>
  <si>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</si>
  <si>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</si>
  <si>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</si>
  <si>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</si>
  <si>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</si>
  <si>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</si>
  <si>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</si>
  <si>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</si>
  <si>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</si>
  <si>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aikk</t>
  </si>
  <si>
    <t>Palveluvuosia</t>
  </si>
  <si>
    <t xml:space="preserve"> 4. Valitse vuosien lkm: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</si>
  <si>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</si>
  <si>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</si>
  <si>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</si>
  <si>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</si>
  <si>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</si>
  <si>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</si>
  <si>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</si>
  <si>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</si>
  <si>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</si>
  <si>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</si>
  <si>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</si>
  <si>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</si>
  <si>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</si>
  <si>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</si>
  <si>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</si>
  <si>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</si>
  <si>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</si>
  <si>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</si>
  <si>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</si>
  <si>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</si>
  <si>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</si>
  <si>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</si>
  <si>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</si>
  <si>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</si>
  <si>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</si>
  <si>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</si>
  <si>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</si>
  <si>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</si>
  <si>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</si>
  <si>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</si>
  <si>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</si>
  <si>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</si>
  <si>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</si>
  <si>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</si>
  <si>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</si>
  <si>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</si>
  <si>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</si>
  <si>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</si>
  <si>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</si>
  <si>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</si>
  <si>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</si>
  <si>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40304033 Peruskoulu -  Luokanopettaja/muu kuin edellä mainittu</t>
  </si>
  <si>
    <t>40304020 Peruskoulu -  Esiluokanopettaja/ylempi korkeakoulututkinto ja perus-/lukio-opetusta antavan 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</si>
  <si>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</si>
  <si>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</si>
  <si>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</si>
  <si>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</si>
  <si>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</si>
  <si>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</si>
  <si>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</si>
  <si>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</si>
  <si>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</si>
  <si>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</si>
  <si>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</si>
  <si>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</si>
  <si>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</si>
  <si>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</si>
  <si>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</si>
  <si>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</si>
  <si>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</si>
  <si>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</si>
  <si>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</si>
  <si>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</si>
  <si>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</si>
  <si>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</si>
  <si>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</si>
  <si>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</si>
  <si>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</si>
  <si>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</si>
  <si>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</si>
  <si>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</si>
  <si>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</si>
  <si>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</si>
  <si>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</si>
  <si>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</si>
  <si>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</si>
  <si>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</si>
  <si>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</si>
  <si>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</si>
  <si>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</si>
  <si>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</si>
  <si>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</si>
  <si>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</si>
  <si>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</si>
  <si>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</si>
  <si>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</si>
  <si>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</si>
  <si>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</si>
  <si>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</si>
  <si>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</si>
  <si>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</si>
  <si>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</si>
  <si>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</si>
  <si>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</si>
  <si>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</si>
  <si>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</si>
  <si>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</si>
  <si>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</si>
  <si>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</si>
  <si>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</si>
  <si>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</si>
  <si>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</si>
  <si>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</si>
  <si>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</si>
  <si>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</si>
  <si>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</si>
  <si>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</si>
  <si>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</si>
  <si>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</si>
  <si>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</si>
  <si>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</si>
  <si>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</si>
  <si>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</si>
  <si>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</si>
  <si>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</si>
  <si>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</si>
  <si>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</si>
  <si>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</si>
  <si>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</si>
  <si>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</si>
  <si>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</si>
  <si>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</si>
  <si>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</si>
  <si>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</si>
  <si>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</si>
  <si>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</si>
  <si>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</si>
  <si>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</si>
  <si>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</si>
  <si>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</si>
  <si>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40301401 Ala-asteen rehtori, 38-</t>
  </si>
  <si>
    <t>40301301 Ala-asteen rehtori, 31-37</t>
  </si>
  <si>
    <t>40301402 Yläasteen rehtori, 20-24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</si>
  <si>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</si>
  <si>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</si>
  <si>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</si>
  <si>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</si>
  <si>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</si>
  <si>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</si>
  <si>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</si>
  <si>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OSIO C Liite 1 Ammatillisen oppilaitoksen opetushenkilöstö</t>
  </si>
  <si>
    <t>10. Syötä ilta-, yö-, arkipyhä- ja viikonlopputyön t: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</si>
  <si>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</si>
  <si>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</si>
  <si>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</si>
  <si>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</si>
  <si>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</si>
  <si>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</si>
  <si>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</si>
  <si>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</si>
  <si>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</si>
  <si>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</si>
  <si>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</si>
  <si>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</si>
  <si>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</si>
  <si>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</si>
  <si>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</si>
  <si>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</si>
  <si>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</si>
  <si>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</si>
  <si>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</si>
  <si>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</si>
  <si>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</si>
  <si>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</si>
  <si>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</si>
  <si>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</si>
  <si>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</si>
  <si>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</si>
  <si>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</si>
  <si>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</si>
  <si>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Luokanopettaja/muu kuin edellä mainittu</t>
  </si>
  <si>
    <t>Esiluokanopettaja/ylempi korkeakoulututkinto ja perus-/lukio-opetusta antavan 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</si>
  <si>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</si>
  <si>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</si>
  <si>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</si>
  <si>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</si>
  <si>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</si>
  <si>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</si>
  <si>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</si>
  <si>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</si>
  <si>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</si>
  <si>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</si>
  <si>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</si>
  <si>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</si>
  <si>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</si>
  <si>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</si>
  <si>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</si>
  <si>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tuntiopettaja/muu kuin edellä mainittu</t>
  </si>
  <si>
    <t>Esiopetuksen tuntiopettaja/ylempi korkeakoulututkinto ja perus-/lukio-opetusta antavan 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</si>
  <si>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</si>
  <si>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</si>
  <si>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</si>
  <si>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</si>
  <si>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</si>
  <si>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</si>
  <si>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</si>
  <si>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</si>
  <si>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</si>
  <si>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</si>
  <si>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</si>
  <si>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</si>
  <si>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</si>
  <si>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</si>
  <si>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</si>
  <si>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</si>
  <si>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</si>
  <si>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</si>
  <si>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</si>
  <si>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</si>
  <si>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</si>
  <si>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</si>
  <si>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</si>
  <si>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</si>
  <si>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</si>
  <si>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</si>
  <si>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</si>
  <si>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</si>
  <si>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</si>
  <si>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</si>
  <si>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</si>
  <si>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</si>
  <si>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</si>
  <si>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</si>
  <si>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</si>
  <si>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</si>
  <si>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</si>
  <si>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</si>
  <si>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</si>
  <si>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</si>
  <si>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</si>
  <si>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</si>
  <si>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>% rehtorista</t>
  </si>
  <si>
    <t>epäpät %</t>
  </si>
  <si>
    <t>Lukion erityisopettaja (Osio B 6b § 1 mom.)</t>
  </si>
  <si>
    <t xml:space="preserve">Lukion erityisopettaja, ei kelpoisuutta (Osio B 6b § 2 mom.) </t>
  </si>
  <si>
    <t>40404076 Lukion erityisopettaja</t>
  </si>
  <si>
    <t>40404077 Lukion erityisopettaja, ei kelpoisuutta</t>
  </si>
  <si>
    <t>KT/NP</t>
  </si>
  <si>
    <t>41103003 Opinto-ohjaaja/ylempi korkeakoulututkinto ja ylempi ammattikorkeakoulututkinto</t>
  </si>
  <si>
    <t>Osio G</t>
  </si>
  <si>
    <t>Päiväkodin johtaja</t>
  </si>
  <si>
    <t>Varhaiskasvatusyksikön apulaisjohtaja</t>
  </si>
  <si>
    <t>Varhaiskasvatuksen erityisopettaja</t>
  </si>
  <si>
    <t>Varhaiskasvatuksen opettaja</t>
  </si>
  <si>
    <t>45000020 Päiväkodin johtaja</t>
  </si>
  <si>
    <t>45000030 Varhaiskasvatusyksikön apulaisjohtaja</t>
  </si>
  <si>
    <t>45000042 Varhaiskasvatuksen erityisopettaja</t>
  </si>
  <si>
    <t>45000044 Varhaiskasvatuksen opettaja</t>
  </si>
  <si>
    <t>Vuosiluokkia 7–9 käsittävän koulun rehtori, 45– palkkaperusteryhmää</t>
  </si>
  <si>
    <t>Lukion opinto-ohjauksen tuntiopettaja (osio B 6a § 1 mom.)</t>
  </si>
  <si>
    <t>Lukion opinto-ohjauksen tuntiopettaja, ei kelpoisuutta (osio B 6a § 2 mom.)</t>
  </si>
  <si>
    <t>Lukion erityisopetuksen tuntiopettaja (osio B 6b § 1 mom.)</t>
  </si>
  <si>
    <t>Lukion erityisopetuksen tuntiopettaja, ei kelpoisuutta (osio B 6b § 2 mom.)</t>
  </si>
  <si>
    <t>40301602 Peruskoulu - Vuosiluokkia 7–9 käsittävän koulun rehtori, 45– palkkaperusteryhmää</t>
  </si>
  <si>
    <t xml:space="preserve">40404066 Lukion opinto-ohjaaja (osio B 6a § 1 mom.) </t>
  </si>
  <si>
    <t>40404067 Lukion opinto-ohjaaja, ei kelpoisuutta (osio B 6a § 2 mom.)</t>
  </si>
  <si>
    <t>40407066 Lukion opinto-ohjauksen tuntiopettaja (osio B 6a § 1 mom.)</t>
  </si>
  <si>
    <t>40407067 Lukion opinto-ohjauksen tuntiopettaja, ei kelpoisuutta (osio B 6a § 2 mom.)</t>
  </si>
  <si>
    <t>40404076 Lukion erityisopettaja (Osio B 6b § 1 mom.)</t>
  </si>
  <si>
    <t xml:space="preserve">40404077 Lukion erityisopettaja, ei kelpoisuutta (Osio B 6b § 2 mom.) </t>
  </si>
  <si>
    <t>40407076 Lukion erityisopetuksen tuntiopettaja (osio B 6b § 1 mom.)</t>
  </si>
  <si>
    <t>40407077 Lukion erityisopetuksen tuntiopettaja, ei kelpoisuutta (osio B 6b § 2 mom.)</t>
  </si>
  <si>
    <t xml:space="preserve">40301602 Yläasteen rehtori, 45– </t>
  </si>
  <si>
    <t>40301402 Yläasteen rehtori, 25-44</t>
  </si>
  <si>
    <t xml:space="preserve">40407066 Lukion opinto-ohjauksen tuntiopettaja </t>
  </si>
  <si>
    <t>40407067 Lukion opinto-ohjauksen tuntiopettaja, ei kelpoisuutta</t>
  </si>
  <si>
    <t>40404066 Lukion opinto-ohjaaja</t>
  </si>
  <si>
    <t>40404067 Lukion opinto-ohjaaja, ei kelpoisuutta</t>
  </si>
  <si>
    <t>40407076 Lukion erityisopetuksen tuntiopettaja</t>
  </si>
  <si>
    <t>40407077 Lukion erityisopetuksen tuntiopettaja, ei kelpoisuutta</t>
  </si>
  <si>
    <t>Luokanopettaja/korkeakoulututkinto/varhaiskasvatuksen opettajan tutkinto</t>
  </si>
  <si>
    <t>Esiluokanopettaja/erityisesiluokan opettaja jolla erityisvarhaiskasvatuksen opettajan kelpoisuus</t>
  </si>
  <si>
    <t>Vuosiluokkien 1–6 tuntiopettaja/korkeakoulututkinto/varhaiskasvatuksen opettajan tutkinto</t>
  </si>
  <si>
    <t>Esiopetuksen tuntiopettaja/erityisesiluokan opettajan, jolla on erityisvarhaiskasvatuksen opettajan kelpoisuus</t>
  </si>
  <si>
    <t>40301502 Peruskoulu -  Vuosiluokkia 7–9 käsittävän koulun rehtori, 25–44 palkkaperusteryhmää</t>
  </si>
  <si>
    <t>40304098 Peruskoulu -  Luokanopettaja/korkeakoulututkinto/varhaiskasvatuksen opettajan tutkinto</t>
  </si>
  <si>
    <t>40304024 Peruskoulu -  Esiluokanopettaja/erityisesiluokan opettaja jolla erityisvarhaiskasvatuksen opettajan kelpoisuus</t>
  </si>
  <si>
    <t>40307065 Peruskoulu -  Esiopetuksen tuntiopettaja/erityisesiluokan opettajan, jolla on erityisvarhaiskasvatuksen opettajan kelpoisuus</t>
  </si>
  <si>
    <t>40307099 Peruskoulu -  Vuosiluokkien 1–6 tuntiopettaja/korkeakoulututkinto/varhaiskasvatuksen opettajan tutkinto</t>
  </si>
  <si>
    <t>40304098 Peruskoulun luokanopettaja/korkeakoulututk./varhaiskasvatuksen opettajan .tutk.</t>
  </si>
  <si>
    <t>40304024 Erityisesiluokan opettaja jolla erit.varhaiskasvatuksen opettajan kelp.</t>
  </si>
  <si>
    <t>40307065 Esiopetuksen tuntiopettaja/erityisesiluokan opett, erit.varhaiskasvatuksen opettajan. kelp.</t>
  </si>
  <si>
    <t>40307099 Vuosiluokkien 1-6 tuntiopettaja/korkeakoulututk./varhaiskasvatuksen opettajan.tutk.</t>
  </si>
  <si>
    <t>alle 3 vuotta</t>
  </si>
  <si>
    <t>3 vuotta</t>
  </si>
  <si>
    <t>7 vuotta</t>
  </si>
  <si>
    <t>kokemuslisä</t>
  </si>
  <si>
    <t>OVTES palkanlaskentaohjelma 1.6.2023 alkaen</t>
  </si>
  <si>
    <t>OVTES palkat ja palkkiot 1.6.2023 lukien</t>
  </si>
  <si>
    <t>OSIO A Yleinen osa</t>
  </si>
  <si>
    <t>Peruspalkan</t>
  </si>
  <si>
    <t>%</t>
  </si>
  <si>
    <t>Palkkiot</t>
  </si>
  <si>
    <t>Yksityisoppilaan kuulustelu (25 §)</t>
  </si>
  <si>
    <t>€/kerta</t>
  </si>
  <si>
    <t>OSIO B Yleissivistävän koulun opetushenkilöstön yhteiset määräykset</t>
  </si>
  <si>
    <t>Tehtäväkohtainen palkka</t>
  </si>
  <si>
    <t>Vuosiluokkia 7–9 käsittävän koulun rehtori, 25–44 palkkaperusteryhmää</t>
  </si>
  <si>
    <t>Vuosiluokkia 7–9 käsittävän koulun rehtori, 45– palkkaperusteryhmää (Voimaan 1.8.2023)</t>
  </si>
  <si>
    <t>Voimaan 1.8.2023 vasta</t>
  </si>
  <si>
    <t>Peruskoulun oppilaanohjaaja (osio B 6 § 1 mom.)</t>
  </si>
  <si>
    <t xml:space="preserve">Lukion erityisopettaja (Osio B 6b § 1 mom.) </t>
  </si>
  <si>
    <t>€/kk</t>
  </si>
  <si>
    <t>Kiertävän opettajan palkkio (18 §)</t>
  </si>
  <si>
    <t>Vuosi-luokkien 1–6 koulu, €/kk</t>
  </si>
  <si>
    <t>Vuosi-luokkien 7–9 koulu tai erityiskoulu €/kk</t>
  </si>
  <si>
    <t>Koulu/oppilaitoskohtainen lisätehtävä, 6–8 palkkaperusteryhmää (19 § 2 mom.)</t>
  </si>
  <si>
    <t>Koulu/oppilaitoskohtainen lisätehtävä, 9-16 palkkaperusteryhmää (19 § 2 mom.)</t>
  </si>
  <si>
    <t>Koulu/oppilaitoskohtainen lisätehtävä, 17–21 palkkaperusteryhmää (19 § 2 mom.)</t>
  </si>
  <si>
    <t>Koulu/oppilaitoskohtainen lisätehtävä, 22–25 palkkaperusteryhmää (19 § 2 mom.)</t>
  </si>
  <si>
    <t>Koulu/oppilaitoskohtainen lisätehtävä, 26–29 palkkaperusteryhmää (19 § 2 mom.)</t>
  </si>
  <si>
    <t>Koulu/oppilaitoskohtainen lisätehtävä, 30–33 palkkaperusteryhmää (19 § 2 mom.)</t>
  </si>
  <si>
    <t>Koulu/oppilaitoskohtainen lisätehtävä, 34– palkkaperusteryhmää (19 § 2 mom.)</t>
  </si>
  <si>
    <t>Koulu/oppilaitoskohtainen lisätehtävä, oppilaita 100–200 (19 § 5 mom.)</t>
  </si>
  <si>
    <t>Koulu/oppilaitoskohtainen lisätehtävä, oppilaita 201–400 (19 § 5 mom.)</t>
  </si>
  <si>
    <t>Koulu/oppilaitoskohtainen lisätehtävä, oppilaita 401–600 (19 § 5 mom.)</t>
  </si>
  <si>
    <t>Koulu/oppilaitoskohtainen lisätehtävä, oppilaita 601– (19 § 5 mom.)</t>
  </si>
  <si>
    <t>Peruskoulu ja aikuislukio</t>
  </si>
  <si>
    <t>Koulu/oppilaitoskohtainen lisätehtävä (19 § 4 ja 6 mom.)</t>
  </si>
  <si>
    <t>OSIO B LIITE 1 Peruskoulu</t>
  </si>
  <si>
    <t>Peruspalkat</t>
  </si>
  <si>
    <t>Esiluokanopettaja/erityisesiluokan opettaja jolla varhaiskasvatuksen erityisopettajan kelpoisuus</t>
  </si>
  <si>
    <t>Vuosiluokkien 1–6 tuntiopettaja/luokanopettajan kelpoisuus, ylempi korkeakoulututkinto ja aineenopettajan kelpoisuus jossakin peruskoulussa yhteisenä opetettavassa aineessa</t>
  </si>
  <si>
    <t>Esiopetuksen tuntiopettaja/erityisesiluokan opettajan, jolla on varhaiskasvatuksen erityisopettajan kelpoisuus</t>
  </si>
  <si>
    <t>Taide- ja taitoaineiden lisät, yhteensä/koulu (23 §)</t>
  </si>
  <si>
    <t>1–2 palkkaperusteryhmää</t>
  </si>
  <si>
    <t>3–8 palkkaperusteryhmää</t>
  </si>
  <si>
    <t>9–  palkkaperusteryhmää</t>
  </si>
  <si>
    <t>OSIO B LIITE 2 Lukio</t>
  </si>
  <si>
    <t>Yksityisopiskelijan kuulustelu (oppiainetta kohden, 9 § 2 mom.)</t>
  </si>
  <si>
    <t>Yksityisopiskelijan kuulustelu (soveltamisohje, 9 § 2 mom.)</t>
  </si>
  <si>
    <t>Yksityisopiskelijan yo-kirjoituksen valmistava tarkistus ja arvostelu (9 § 5 mom.)</t>
  </si>
  <si>
    <t>OSIO B LIITE 3 Aikuislukio</t>
  </si>
  <si>
    <t>Yksityisopiskelijan kuulustelu (oppiainetta kohden, liite 2 9 § 2 mom.)</t>
  </si>
  <si>
    <t>Yksityisopiskelijan osakuulustelu (soveltamisohje, liite 2 9 § 2 mom.)</t>
  </si>
  <si>
    <t>Yksityisopiskelijan yo-kirjoituksen valmistava tarkistus ja arvostelu (liite 2 9 § 5 mom.)</t>
  </si>
  <si>
    <t>OSIO C  Ammatillisen oppilaitoksen opetushenkilöstö</t>
  </si>
  <si>
    <t>Opinto-ohjaaja/ylempi korkeakoulututkinto tai ylempi ammattikorkeakoulututkinto</t>
  </si>
  <si>
    <t>0 vuotta</t>
  </si>
  <si>
    <t xml:space="preserve">Sivutoimisen tuntiopettajan tuntipalkkio </t>
  </si>
  <si>
    <t>€/tunti</t>
  </si>
  <si>
    <t>Soveltuva ylempi korkeakoulututkinto tai soveltuva ylempi ammattikorkeakoulututkinto</t>
  </si>
  <si>
    <t>Soveltuva korkeakoulututkinto, insinöörin tai rakennusarkkitehdin tutkinto</t>
  </si>
  <si>
    <t>Soveltuva opistoasteen tutkinto</t>
  </si>
  <si>
    <t>Muu soveltuva tutkinto tai koulutus</t>
  </si>
  <si>
    <t>OSIO C Ammatillisten oppilaitosten opetushenkilöstön yhteiset määräykset</t>
  </si>
  <si>
    <t>NETTIIN NÄKYVIIN VANHAT HITUT JA PALKAT YLEISKOROTUKSELLA</t>
  </si>
  <si>
    <t>Ylioppilaskirjoitusten valmistavan tarkistuksen palkkio (10 § 2 mom.)</t>
  </si>
  <si>
    <t>OSIO C LIITE 4 Ammattioppilaitos</t>
  </si>
  <si>
    <t>Ammatillisten aineiden lehtori/soveltuva ylempi korkeakoulututkinto tai soveltuva ylempi ammattikorkeakoulututkinto</t>
  </si>
  <si>
    <t>Ammatillisten aineiden lehtori/soveltuva korkeakoulututkinto, insinöörin tai rakennusarkkitehdin tutkinto</t>
  </si>
  <si>
    <t>Ammatillisten aineiden lehtori/soveltuva opistoasteen tutkinto</t>
  </si>
  <si>
    <t>Ammatillisten aineiden lehtori/muu soveltuva tutkinto tai koulutus</t>
  </si>
  <si>
    <t>Ammatillisen oppilaitoksen yhteisten aineiden lehtori/soveltuva ylempi korkeakoulututkinto</t>
  </si>
  <si>
    <t>Ammatillisen oppilaitoksen yhteisten aineiden lehtori/muu soveltuva tutkinto</t>
  </si>
  <si>
    <t>Ammatillinen oppilaitos/tuntiopettaja/ammatilliset aineet/soveltuva ylempi korkeakoulututkinto tai soveltuva ylempi ammattikorkeakoulututkinto</t>
  </si>
  <si>
    <t>Tuntiopettaja/ammatilliset aineet/soveltuva korkeakoulututkinto, insinöörin tai rakennusarkkitehdin tutkinto</t>
  </si>
  <si>
    <t>Tuntiopettaja/ammatilliset aineet/soveltuva opistoasteen tutkinto</t>
  </si>
  <si>
    <t>Tuntiopettaja/ammatilliset aineet/muu soveltuva tutkinto tai koulutus</t>
  </si>
  <si>
    <t>Tuntiopettaja/yhteiset aineet/ylempi korkeakoulututkinto</t>
  </si>
  <si>
    <t>Tuntiopettaja/yhteiset aineet/muu soveltuva tutkinto</t>
  </si>
  <si>
    <t>OSIO C LIITE 5 Kauppaoppilaitos</t>
  </si>
  <si>
    <t>Lehtori/soveltuva korkeakoulututkinto</t>
  </si>
  <si>
    <t>Lehtori/muu soveltuva tutkinto</t>
  </si>
  <si>
    <t>Tuntiopettaja/soveltuva korkeakoulututkinto</t>
  </si>
  <si>
    <t>Tuntiopettaja/muu soveltuva tutkinto</t>
  </si>
  <si>
    <t>OSIO C LIITE 6 Taide- ja viestintäkulttuurioppilaitos</t>
  </si>
  <si>
    <t>Lehtori/ammatilliset aineet/soveltuva ylempi korkeakoulututkinto tai soveltuva ylempi ammattikorkeakoulututkinto</t>
  </si>
  <si>
    <t>Lehtori/ammatilliset aineet/soveltuva korkeakoulututkinto</t>
  </si>
  <si>
    <t>Lehtori/ammatilliset aineet/soveltuva opistoasteen tutkinto</t>
  </si>
  <si>
    <t>Lehtori/ammatilliset aineet/muu soveltuva tutkinto tai vähintään kolmen vuoden soveltuvat opinnot taidekoulussa (tanssi- ja sirkusala)</t>
  </si>
  <si>
    <t>Lehtori/yhteiset aineet/ylempi korkeakoulututkinto</t>
  </si>
  <si>
    <t>Lehtori/yhteiset aineet/korkeakoulututkinto</t>
  </si>
  <si>
    <t>Tuntiopettaja/ammatilliset aineet/soveltuva ylempi korkeakoulututkinto tai soveltuva ylempi ammattikorkeakoulututkinto</t>
  </si>
  <si>
    <t>Tuntiopettaja/ammatilliset aineet/soveltuva korkeakoulututkinto</t>
  </si>
  <si>
    <t>Tuntiopettaja/ammatilliset aineet/muu soveltuva tutkinto tai vähintään kolmen vuoden soveltuvat opinnot taidekoulussa (tanssi- ja sirkusala)</t>
  </si>
  <si>
    <t>Tuntiopettaja/yhteiset aineet/korkeakoulututkinto</t>
  </si>
  <si>
    <t>OSIO C LIITE 7 Sosiaali- ja terveysalan oppilaitos</t>
  </si>
  <si>
    <t>Lehtori/muu</t>
  </si>
  <si>
    <t>Tuntiopettaja/soveltuva ylempi korkeakoulututkinto tai soveltuva ylempi ammattikoreakoulututkinto</t>
  </si>
  <si>
    <t>Tuntiopettaja/muu</t>
  </si>
  <si>
    <t>OSIO C LIITE 8 Metsä- ja puutalousoppilaitos</t>
  </si>
  <si>
    <t>Lehtori/ammatilliset aineet/soveltuva korkeakoulututkinto tai insinöörin tutkinto</t>
  </si>
  <si>
    <t>Lehtori/ammatilliset aineet/muu soveltuva tutkinto tai koulutus</t>
  </si>
  <si>
    <t>Tuntiopettaja/ammatilliset aineet/soveltuva korkeakoulututkinto tai insinöörin tutkinto</t>
  </si>
  <si>
    <t>OSIO C LIITE 9 Merenkulkuoppilaitos</t>
  </si>
  <si>
    <t>Laboratorioinsinööri</t>
  </si>
  <si>
    <t>Lehtori/merenkulku- ja teknisissä aineissa/soveltuva ylempi korkeakoulututkinto tai soveltuva ylempi ammattikorkeakoulututkinto</t>
  </si>
  <si>
    <t>Lehtori/merenkulku- ja teknisissä aineissa/muu tutkinto</t>
  </si>
  <si>
    <t>Lehtori/ammatinopetus</t>
  </si>
  <si>
    <t>Lehtori/työnopetus</t>
  </si>
  <si>
    <t>Lehtori/yhteiset aineet/alempi korkeakoulututkinto</t>
  </si>
  <si>
    <t>Lehtori/yhteiset aineet/muu tutkinto</t>
  </si>
  <si>
    <t>Tuntiopettaja/merenkulku- ja teknillisissä aineissa/soveltuva ylempi korkeakoulututkinto tai soveltuva ylempi ammattikorkeakoulututkinto</t>
  </si>
  <si>
    <t>Tuntiopettaja/merenkulku ja teknilliset aineet/muu tutkinto</t>
  </si>
  <si>
    <t>Tuntiopettaja/ammatinopetus</t>
  </si>
  <si>
    <t>Tuntiopettaja/työnopetus</t>
  </si>
  <si>
    <t>Tuntiopettaja/yhteiset aineet/alempi korkeakoulututkinto</t>
  </si>
  <si>
    <t>Tuntiopettaja/yhteiset aineet/muu tutkinto</t>
  </si>
  <si>
    <t>OSIO F LIITE 10 Musiikkioppilaitos</t>
  </si>
  <si>
    <t>Peruspalkka</t>
  </si>
  <si>
    <t>Sivutoimisen tuntiopettajan tuntipalkkio</t>
  </si>
  <si>
    <t>4 08 07 02 9</t>
  </si>
  <si>
    <t>4 08 07 03 0</t>
  </si>
  <si>
    <t>4 08 07 03 1</t>
  </si>
  <si>
    <t>OSIO F LIITE 11 Lasten ja nuorten taidekoulu</t>
  </si>
  <si>
    <t>Tuntipalkat</t>
  </si>
  <si>
    <t>4 05 07 04 0</t>
  </si>
  <si>
    <t>OSIO F LIITE 12 Kansalaisopisto</t>
  </si>
  <si>
    <t>4 06 07 03 3</t>
  </si>
  <si>
    <t>Iltaopetuspalkkio (8 §)</t>
  </si>
  <si>
    <t>OSIO F LIITE 13 Kansanopisto</t>
  </si>
  <si>
    <t>4 07 07 03 3</t>
  </si>
  <si>
    <t xml:space="preserve">OSIO G </t>
  </si>
  <si>
    <t>Varhaiskasvatuksen opetushenkilöstö</t>
  </si>
  <si>
    <t xml:space="preserve">Varhaiskasvatuksen erityisopettaja, kasvatustieteiden maisteri </t>
  </si>
  <si>
    <t xml:space="preserve">Varhaiskasvatuksen erityisopettaja, kasvatustieteiden kandidaatti tai muu varhaiskasvatuslain mukainen kelpoisuus </t>
  </si>
  <si>
    <t xml:space="preserve">Varhaiskasvatuksen opettaja, kasvatustieteiden maisteri </t>
  </si>
  <si>
    <t xml:space="preserve">Varhaiskasvatuksen opettaja, kasvatustieteiden kandidaatti tai muu varhaiskasvatuslain mukainen kelpoisuus </t>
  </si>
  <si>
    <t>KVTES Liite 5</t>
  </si>
  <si>
    <t xml:space="preserve">05VKB045 </t>
  </si>
  <si>
    <t>Varhaiskasvatuksen erityisopettaja, muu kuin edellä mainittu</t>
  </si>
  <si>
    <t>!</t>
  </si>
  <si>
    <t xml:space="preserve">05VKA045 </t>
  </si>
  <si>
    <t xml:space="preserve">Varhaiskasvatuksen opettaja, muu kuin edellä mainittu </t>
  </si>
  <si>
    <t xml:space="preserve">Peruspalkat 1.6.2023 lukien, e/kk </t>
  </si>
  <si>
    <t>OVTES palkanlaskentaohjelma 1.6.2023 lukien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</si>
</sst>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</numFmts>
  <fonts count="1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8"/>
      <name val="Segoe UI"/>
      <family val="2"/>
    </font>
    <font>
      <sz val="10"/>
      <color indexed="13"/>
      <name val="Arial"/>
      <family val="2"/>
    </font>
    <font>
      <sz val="10"/>
      <color indexed="13"/>
      <name val="Arial Narrow"/>
      <family val="2"/>
    </font>
    <font>
      <sz val="11"/>
      <color indexed="13"/>
      <name val="Calibri"/>
      <family val="2"/>
    </font>
    <font>
      <sz val="10"/>
      <color indexed="40"/>
      <name val="Arial"/>
      <family val="2"/>
    </font>
    <font>
      <sz val="11"/>
      <color indexed="40"/>
      <name val="Calibri"/>
      <family val="2"/>
    </font>
    <font>
      <sz val="10"/>
      <color indexed="17"/>
      <name val="Arial Narrow"/>
      <family val="2"/>
    </font>
    <font>
      <sz val="11"/>
      <color indexed="17"/>
      <name val="Calibri"/>
      <family val="2"/>
    </font>
    <font>
      <b/>
      <strike/>
      <sz val="10"/>
      <color indexed="10"/>
      <name val="Cambria"/>
      <family val="1"/>
    </font>
    <font>
      <b/>
      <sz val="10"/>
      <color indexed="10"/>
      <name val="Cambria"/>
      <family val="1"/>
    </font>
    <font>
      <strike/>
      <sz val="10"/>
      <color indexed="10"/>
      <name val="Cambria"/>
      <family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sz val="10"/>
      <color rgb="FFFF0000"/>
      <name val="Arial Narrow"/>
      <family val="2"/>
    </font>
    <font>
      <sz val="10"/>
      <color rgb="FFFFC000"/>
      <name val="Arial"/>
      <family val="2"/>
    </font>
    <font>
      <sz val="10"/>
      <color rgb="FFFFC000"/>
      <name val="Arial Narrow"/>
      <family val="2"/>
    </font>
    <font>
      <sz val="11"/>
      <color rgb="FFFFC000"/>
      <name val="Calibri"/>
      <family val="2"/>
    </font>
    <font>
      <sz val="10"/>
      <color rgb="FF00B0F0"/>
      <name val="Arial"/>
      <family val="2"/>
    </font>
    <font>
      <sz val="11"/>
      <color rgb="FF00B0F0"/>
      <name val="Calibri"/>
      <family val="2"/>
    </font>
    <font>
      <sz val="10"/>
      <color rgb="FF00B050"/>
      <name val="Arial"/>
      <family val="2"/>
    </font>
    <font>
      <sz val="10"/>
      <color rgb="FF00B050"/>
      <name val="Arial Narrow"/>
      <family val="2"/>
    </font>
    <font>
      <sz val="11"/>
      <color rgb="FF00B050"/>
      <name val="Calibri"/>
      <family val="2"/>
    </font>
    <font>
      <b/>
      <strike/>
      <sz val="10"/>
      <color rgb="FFFF0000"/>
      <name val="Cambria"/>
      <family val="1"/>
    </font>
    <font>
      <b/>
      <sz val="10"/>
      <color rgb="FFFF0000"/>
      <name val="Cambria"/>
      <family val="1"/>
    </font>
    <font>
      <strike/>
      <sz val="10"/>
      <color rgb="FFFF0000"/>
      <name val="Cambria"/>
      <family val="1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/>
      <top style="dotted"/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29" borderId="2" applyNumberFormat="0" applyAlignment="0" applyProtection="0"/>
    <xf numFmtId="0" fontId="80" fillId="0" borderId="3" applyNumberFormat="0" applyFill="0" applyAlignment="0" applyProtection="0"/>
    <xf numFmtId="0" fontId="81" fillId="30" borderId="0" applyNumberFormat="0" applyBorder="0" applyAlignment="0" applyProtection="0"/>
    <xf numFmtId="0" fontId="75" fillId="0" borderId="0">
      <alignment/>
      <protection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2" applyNumberFormat="0" applyAlignment="0" applyProtection="0"/>
    <xf numFmtId="0" fontId="90" fillId="32" borderId="8" applyNumberFormat="0" applyAlignment="0" applyProtection="0"/>
    <xf numFmtId="0" fontId="91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2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5" xfId="0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 horizontal="right"/>
      <protection/>
    </xf>
    <xf numFmtId="0" fontId="8" fillId="36" borderId="3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7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2" fontId="8" fillId="36" borderId="40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5" xfId="0" applyBorder="1" applyAlignment="1">
      <alignment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0" fontId="35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2" fillId="6" borderId="0" xfId="0" applyNumberFormat="1" applyFont="1" applyFill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93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1" fillId="38" borderId="14" xfId="0" applyFont="1" applyFill="1" applyBorder="1" applyAlignment="1" applyProtection="1">
      <alignment/>
      <protection/>
    </xf>
    <xf numFmtId="0" fontId="94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 vertical="top" wrapText="1"/>
      <protection/>
    </xf>
    <xf numFmtId="0" fontId="94" fillId="38" borderId="0" xfId="0" applyFont="1" applyFill="1" applyBorder="1" applyAlignment="1" applyProtection="1">
      <alignment/>
      <protection/>
    </xf>
    <xf numFmtId="0" fontId="94" fillId="38" borderId="0" xfId="0" applyFont="1" applyFill="1" applyBorder="1" applyAlignment="1" applyProtection="1">
      <alignment/>
      <protection/>
    </xf>
    <xf numFmtId="0" fontId="95" fillId="38" borderId="15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47" applyNumberFormat="1" applyFont="1" applyBorder="1" applyAlignment="1">
      <alignment horizontal="center"/>
      <protection/>
    </xf>
    <xf numFmtId="4" fontId="41" fillId="0" borderId="0" xfId="0" applyNumberFormat="1" applyFont="1" applyBorder="1" applyAlignment="1">
      <alignment/>
    </xf>
    <xf numFmtId="199" fontId="41" fillId="0" borderId="0" xfId="0" applyNumberFormat="1" applyFont="1" applyBorder="1" applyAlignment="1">
      <alignment horizontal="left" vertical="top"/>
    </xf>
    <xf numFmtId="4" fontId="4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199" fontId="42" fillId="0" borderId="0" xfId="0" applyNumberFormat="1" applyFont="1" applyBorder="1" applyAlignment="1">
      <alignment horizontal="left" vertical="top"/>
    </xf>
    <xf numFmtId="2" fontId="7" fillId="0" borderId="0" xfId="0" applyNumberFormat="1" applyFont="1" applyAlignment="1" quotePrefix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0" fontId="96" fillId="0" borderId="0" xfId="0" applyFont="1" applyAlignment="1">
      <alignment/>
    </xf>
    <xf numFmtId="2" fontId="32" fillId="6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41" fillId="0" borderId="0" xfId="47" applyNumberFormat="1" applyFont="1" applyAlignment="1">
      <alignment horizontal="center"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2" fontId="37" fillId="33" borderId="17" xfId="0" applyNumberFormat="1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12" xfId="0" applyFont="1" applyFill="1" applyBorder="1" applyAlignment="1" applyProtection="1">
      <alignment horizontal="left" vertical="top" wrapText="1"/>
      <protection/>
    </xf>
    <xf numFmtId="0" fontId="37" fillId="33" borderId="11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wrapText="1"/>
      <protection/>
    </xf>
    <xf numFmtId="0" fontId="37" fillId="33" borderId="16" xfId="0" applyFont="1" applyFill="1" applyBorder="1" applyAlignment="1" applyProtection="1">
      <alignment wrapText="1"/>
      <protection/>
    </xf>
    <xf numFmtId="0" fontId="38" fillId="0" borderId="16" xfId="0" applyFont="1" applyBorder="1" applyAlignment="1" applyProtection="1">
      <alignment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37" fillId="33" borderId="11" xfId="0" applyFont="1" applyFill="1" applyBorder="1" applyAlignment="1" applyProtection="1">
      <alignment vertical="top" wrapText="1"/>
      <protection/>
    </xf>
    <xf numFmtId="0" fontId="38" fillId="0" borderId="12" xfId="0" applyFont="1" applyBorder="1" applyAlignment="1" applyProtection="1">
      <alignment wrapText="1"/>
      <protection/>
    </xf>
    <xf numFmtId="0" fontId="38" fillId="0" borderId="11" xfId="0" applyFont="1" applyBorder="1" applyAlignment="1" applyProtection="1">
      <alignment wrapText="1"/>
      <protection/>
    </xf>
    <xf numFmtId="0" fontId="38" fillId="0" borderId="17" xfId="0" applyFont="1" applyBorder="1" applyAlignment="1" applyProtection="1">
      <alignment wrapText="1"/>
      <protection/>
    </xf>
    <xf numFmtId="0" fontId="38" fillId="0" borderId="18" xfId="0" applyFont="1" applyBorder="1" applyAlignment="1" applyProtection="1">
      <alignment wrapText="1"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0" fontId="42" fillId="0" borderId="0" xfId="0" applyFont="1" applyAlignment="1">
      <alignment horizontal="left" vertical="top"/>
    </xf>
    <xf numFmtId="0" fontId="41" fillId="0" borderId="0" xfId="0" applyFont="1" applyAlignment="1">
      <alignment wrapText="1"/>
    </xf>
    <xf numFmtId="0" fontId="62" fillId="0" borderId="0" xfId="0" applyFont="1" applyAlignment="1">
      <alignment/>
    </xf>
    <xf numFmtId="2" fontId="42" fillId="0" borderId="0" xfId="0" applyNumberFormat="1" applyFont="1" applyAlignment="1">
      <alignment horizontal="right"/>
    </xf>
    <xf numFmtId="187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47" applyFont="1" applyAlignment="1">
      <alignment wrapText="1"/>
      <protection/>
    </xf>
    <xf numFmtId="0" fontId="41" fillId="0" borderId="0" xfId="47" applyFont="1">
      <alignment/>
      <protection/>
    </xf>
    <xf numFmtId="0" fontId="7" fillId="0" borderId="0" xfId="0" applyFont="1" applyAlignment="1">
      <alignment horizontal="center"/>
    </xf>
    <xf numFmtId="0" fontId="7" fillId="0" borderId="41" xfId="47" applyFont="1" applyBorder="1" applyAlignment="1">
      <alignment wrapText="1"/>
      <protection/>
    </xf>
    <xf numFmtId="0" fontId="41" fillId="0" borderId="0" xfId="47" applyFont="1" applyAlignment="1">
      <alignment horizontal="right"/>
      <protection/>
    </xf>
    <xf numFmtId="2" fontId="62" fillId="0" borderId="0" xfId="0" applyNumberFormat="1" applyFont="1" applyAlignment="1">
      <alignment/>
    </xf>
    <xf numFmtId="0" fontId="41" fillId="0" borderId="42" xfId="0" applyFont="1" applyBorder="1" applyAlignment="1">
      <alignment/>
    </xf>
    <xf numFmtId="182" fontId="41" fillId="0" borderId="0" xfId="0" applyNumberFormat="1" applyFont="1" applyAlignment="1">
      <alignment horizontal="left" vertical="top"/>
    </xf>
    <xf numFmtId="182" fontId="41" fillId="0" borderId="0" xfId="0" applyNumberFormat="1" applyFont="1" applyAlignment="1">
      <alignment wrapText="1"/>
    </xf>
    <xf numFmtId="187" fontId="7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left"/>
    </xf>
    <xf numFmtId="0" fontId="7" fillId="0" borderId="41" xfId="0" applyFont="1" applyBorder="1" applyAlignment="1">
      <alignment horizontal="center"/>
    </xf>
    <xf numFmtId="199" fontId="41" fillId="0" borderId="43" xfId="0" applyNumberFormat="1" applyFont="1" applyBorder="1" applyAlignment="1">
      <alignment horizontal="left" vertical="top"/>
    </xf>
    <xf numFmtId="0" fontId="7" fillId="0" borderId="43" xfId="0" applyFont="1" applyBorder="1" applyAlignment="1">
      <alignment vertical="top" wrapText="1"/>
    </xf>
    <xf numFmtId="4" fontId="41" fillId="0" borderId="0" xfId="0" applyNumberFormat="1" applyFont="1" applyAlignment="1">
      <alignment/>
    </xf>
    <xf numFmtId="199" fontId="97" fillId="0" borderId="43" xfId="0" applyNumberFormat="1" applyFont="1" applyBorder="1" applyAlignment="1">
      <alignment horizontal="left" vertical="top"/>
    </xf>
    <xf numFmtId="0" fontId="98" fillId="0" borderId="43" xfId="0" applyFont="1" applyBorder="1" applyAlignment="1">
      <alignment vertical="top" wrapText="1"/>
    </xf>
    <xf numFmtId="4" fontId="97" fillId="0" borderId="0" xfId="47" applyNumberFormat="1" applyFont="1" applyAlignment="1">
      <alignment horizontal="center"/>
      <protection/>
    </xf>
    <xf numFmtId="4" fontId="97" fillId="0" borderId="0" xfId="0" applyNumberFormat="1" applyFont="1" applyAlignment="1">
      <alignment/>
    </xf>
    <xf numFmtId="2" fontId="99" fillId="0" borderId="0" xfId="0" applyNumberFormat="1" applyFont="1" applyAlignment="1">
      <alignment/>
    </xf>
    <xf numFmtId="0" fontId="99" fillId="0" borderId="0" xfId="0" applyFont="1" applyAlignment="1">
      <alignment/>
    </xf>
    <xf numFmtId="0" fontId="7" fillId="0" borderId="43" xfId="0" applyFont="1" applyBorder="1" applyAlignment="1">
      <alignment wrapText="1"/>
    </xf>
    <xf numFmtId="0" fontId="41" fillId="0" borderId="43" xfId="0" applyFont="1" applyBorder="1" applyAlignment="1">
      <alignment/>
    </xf>
    <xf numFmtId="4" fontId="41" fillId="0" borderId="41" xfId="47" applyNumberFormat="1" applyFont="1" applyBorder="1" applyAlignment="1">
      <alignment horizontal="center"/>
      <protection/>
    </xf>
    <xf numFmtId="0" fontId="7" fillId="0" borderId="41" xfId="0" applyFont="1" applyBorder="1" applyAlignment="1">
      <alignment horizontal="left" wrapText="1"/>
    </xf>
    <xf numFmtId="4" fontId="41" fillId="0" borderId="43" xfId="47" applyNumberFormat="1" applyFont="1" applyBorder="1" applyAlignment="1">
      <alignment horizontal="center"/>
      <protection/>
    </xf>
    <xf numFmtId="199" fontId="100" fillId="0" borderId="43" xfId="0" applyNumberFormat="1" applyFont="1" applyBorder="1" applyAlignment="1">
      <alignment horizontal="left" vertical="top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4" fontId="100" fillId="0" borderId="0" xfId="47" applyNumberFormat="1" applyFont="1" applyAlignment="1">
      <alignment horizontal="center"/>
      <protection/>
    </xf>
    <xf numFmtId="4" fontId="100" fillId="0" borderId="41" xfId="47" applyNumberFormat="1" applyFont="1" applyBorder="1" applyAlignment="1">
      <alignment horizontal="center"/>
      <protection/>
    </xf>
    <xf numFmtId="199" fontId="100" fillId="0" borderId="0" xfId="0" applyNumberFormat="1" applyFont="1" applyAlignment="1">
      <alignment horizontal="left" vertical="top"/>
    </xf>
    <xf numFmtId="199" fontId="41" fillId="0" borderId="0" xfId="0" applyNumberFormat="1" applyFont="1" applyAlignment="1">
      <alignment horizontal="left" vertical="top"/>
    </xf>
    <xf numFmtId="0" fontId="7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7" fillId="0" borderId="43" xfId="0" applyFont="1" applyBorder="1" applyAlignment="1">
      <alignment vertical="top"/>
    </xf>
    <xf numFmtId="199" fontId="42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0" fontId="41" fillId="0" borderId="41" xfId="0" applyFont="1" applyBorder="1" applyAlignment="1">
      <alignment/>
    </xf>
    <xf numFmtId="0" fontId="41" fillId="0" borderId="43" xfId="0" applyFont="1" applyBorder="1" applyAlignment="1">
      <alignment wrapText="1"/>
    </xf>
    <xf numFmtId="2" fontId="41" fillId="0" borderId="43" xfId="0" applyNumberFormat="1" applyFont="1" applyBorder="1" applyAlignment="1">
      <alignment/>
    </xf>
    <xf numFmtId="0" fontId="7" fillId="0" borderId="0" xfId="0" applyFont="1" applyAlignment="1">
      <alignment vertical="top"/>
    </xf>
    <xf numFmtId="2" fontId="41" fillId="0" borderId="43" xfId="0" applyNumberFormat="1" applyFont="1" applyBorder="1" applyAlignment="1">
      <alignment horizontal="center"/>
    </xf>
    <xf numFmtId="199" fontId="42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41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4" fontId="41" fillId="0" borderId="0" xfId="0" applyNumberFormat="1" applyFont="1" applyAlignment="1">
      <alignment horizontal="center"/>
    </xf>
    <xf numFmtId="4" fontId="41" fillId="0" borderId="41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4" fontId="41" fillId="0" borderId="41" xfId="0" applyNumberFormat="1" applyFont="1" applyBorder="1" applyAlignment="1">
      <alignment/>
    </xf>
    <xf numFmtId="4" fontId="41" fillId="0" borderId="0" xfId="47" applyNumberFormat="1" applyFont="1">
      <alignment/>
      <protection/>
    </xf>
    <xf numFmtId="199" fontId="41" fillId="0" borderId="41" xfId="0" applyNumberFormat="1" applyFont="1" applyBorder="1" applyAlignment="1">
      <alignment horizontal="left" vertical="top"/>
    </xf>
    <xf numFmtId="4" fontId="41" fillId="0" borderId="42" xfId="47" applyNumberFormat="1" applyFont="1" applyBorder="1" applyAlignment="1">
      <alignment horizontal="center"/>
      <protection/>
    </xf>
    <xf numFmtId="17" fontId="62" fillId="0" borderId="0" xfId="0" applyNumberFormat="1" applyFont="1" applyAlignment="1">
      <alignment/>
    </xf>
    <xf numFmtId="199" fontId="42" fillId="0" borderId="41" xfId="0" applyNumberFormat="1" applyFont="1" applyBorder="1" applyAlignment="1">
      <alignment horizontal="left" vertical="top"/>
    </xf>
    <xf numFmtId="199" fontId="102" fillId="0" borderId="41" xfId="0" applyNumberFormat="1" applyFont="1" applyBorder="1" applyAlignment="1">
      <alignment horizontal="left" vertical="top"/>
    </xf>
    <xf numFmtId="0" fontId="103" fillId="0" borderId="41" xfId="0" applyFont="1" applyBorder="1" applyAlignment="1">
      <alignment horizontal="left" vertical="top" wrapText="1"/>
    </xf>
    <xf numFmtId="4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2" fontId="104" fillId="0" borderId="0" xfId="0" applyNumberFormat="1" applyFont="1" applyAlignment="1">
      <alignment/>
    </xf>
    <xf numFmtId="0" fontId="104" fillId="0" borderId="0" xfId="0" applyFont="1" applyAlignment="1">
      <alignment/>
    </xf>
    <xf numFmtId="199" fontId="102" fillId="0" borderId="0" xfId="0" applyNumberFormat="1" applyFont="1" applyAlignment="1">
      <alignment horizontal="left" vertical="top"/>
    </xf>
    <xf numFmtId="0" fontId="103" fillId="0" borderId="0" xfId="0" applyFont="1" applyAlignment="1">
      <alignment horizontal="left" vertical="top" wrapText="1"/>
    </xf>
    <xf numFmtId="4" fontId="102" fillId="0" borderId="0" xfId="47" applyNumberFormat="1" applyFont="1" applyAlignment="1">
      <alignment horizontal="center"/>
      <protection/>
    </xf>
    <xf numFmtId="4" fontId="100" fillId="0" borderId="0" xfId="47" applyNumberFormat="1" applyFont="1" applyAlignment="1">
      <alignment horizontal="left"/>
      <protection/>
    </xf>
    <xf numFmtId="199" fontId="105" fillId="0" borderId="0" xfId="0" applyNumberFormat="1" applyFont="1" applyAlignment="1">
      <alignment horizontal="left" vertical="top"/>
    </xf>
    <xf numFmtId="0" fontId="106" fillId="0" borderId="0" xfId="0" applyFont="1" applyAlignment="1">
      <alignment horizontal="left" vertical="top" wrapText="1"/>
    </xf>
    <xf numFmtId="0" fontId="105" fillId="0" borderId="0" xfId="0" applyFont="1" applyAlignment="1">
      <alignment horizontal="left" vertical="top" wrapText="1"/>
    </xf>
    <xf numFmtId="199" fontId="107" fillId="0" borderId="43" xfId="0" applyNumberFormat="1" applyFont="1" applyBorder="1" applyAlignment="1">
      <alignment horizontal="left" vertical="top"/>
    </xf>
    <xf numFmtId="0" fontId="107" fillId="0" borderId="43" xfId="0" applyFont="1" applyBorder="1" applyAlignment="1">
      <alignment horizontal="left" vertical="top" wrapText="1"/>
    </xf>
    <xf numFmtId="199" fontId="107" fillId="0" borderId="0" xfId="0" applyNumberFormat="1" applyFont="1" applyAlignment="1">
      <alignment horizontal="left" vertical="top"/>
    </xf>
    <xf numFmtId="0" fontId="107" fillId="0" borderId="0" xfId="0" applyFont="1" applyAlignment="1">
      <alignment horizontal="left" vertical="top" wrapText="1"/>
    </xf>
    <xf numFmtId="4" fontId="42" fillId="0" borderId="0" xfId="0" applyNumberFormat="1" applyFont="1" applyAlignment="1">
      <alignment/>
    </xf>
    <xf numFmtId="0" fontId="107" fillId="0" borderId="0" xfId="0" applyFont="1" applyAlignment="1">
      <alignment vertical="top"/>
    </xf>
    <xf numFmtId="199" fontId="105" fillId="0" borderId="0" xfId="0" applyNumberFormat="1" applyFont="1" applyAlignment="1">
      <alignment horizontal="left" vertical="top" wrapText="1"/>
    </xf>
    <xf numFmtId="0" fontId="107" fillId="0" borderId="0" xfId="0" applyFont="1" applyAlignment="1">
      <alignment wrapText="1"/>
    </xf>
    <xf numFmtId="4" fontId="7" fillId="0" borderId="43" xfId="0" applyNumberFormat="1" applyFont="1" applyBorder="1" applyAlignment="1">
      <alignment wrapText="1"/>
    </xf>
    <xf numFmtId="182" fontId="7" fillId="0" borderId="41" xfId="0" applyNumberFormat="1" applyFont="1" applyBorder="1" applyAlignment="1">
      <alignment horizontal="center"/>
    </xf>
    <xf numFmtId="187" fontId="7" fillId="0" borderId="41" xfId="0" applyNumberFormat="1" applyFont="1" applyBorder="1" applyAlignment="1">
      <alignment horizontal="center"/>
    </xf>
    <xf numFmtId="4" fontId="7" fillId="0" borderId="0" xfId="0" applyNumberFormat="1" applyFont="1" applyAlignment="1">
      <alignment wrapText="1"/>
    </xf>
    <xf numFmtId="4" fontId="41" fillId="0" borderId="43" xfId="0" applyNumberFormat="1" applyFont="1" applyBorder="1" applyAlignment="1">
      <alignment/>
    </xf>
    <xf numFmtId="0" fontId="42" fillId="0" borderId="0" xfId="0" applyFont="1" applyAlignment="1">
      <alignment vertical="top"/>
    </xf>
    <xf numFmtId="0" fontId="41" fillId="0" borderId="43" xfId="0" applyFont="1" applyBorder="1" applyAlignment="1">
      <alignment vertical="top"/>
    </xf>
    <xf numFmtId="4" fontId="100" fillId="0" borderId="0" xfId="0" applyNumberFormat="1" applyFont="1" applyAlignment="1">
      <alignment/>
    </xf>
    <xf numFmtId="0" fontId="7" fillId="0" borderId="42" xfId="0" applyFont="1" applyBorder="1" applyAlignment="1">
      <alignment wrapText="1"/>
    </xf>
    <xf numFmtId="0" fontId="108" fillId="0" borderId="0" xfId="0" applyFont="1" applyAlignment="1">
      <alignment/>
    </xf>
    <xf numFmtId="0" fontId="7" fillId="0" borderId="41" xfId="0" applyFont="1" applyBorder="1" applyAlignment="1">
      <alignment wrapText="1"/>
    </xf>
    <xf numFmtId="4" fontId="62" fillId="0" borderId="0" xfId="0" applyNumberFormat="1" applyFon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VTES%20palkat%20ja%20palkkiot%201.10.2022%20palkat%20ja%20palkkiot%20nettii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tfin-my.sharepoint.com/personal/niina_paakkonen_kt_fi/Documents/Sopimus/OVTES/Palkat%20ja%20palkkiot%201.5.2018%20eteenp&#228;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0.2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kat 1.1.2016"/>
      <sheetName val="1.5.2018"/>
      <sheetName val="1.12.2018"/>
      <sheetName val="1.4.2019"/>
      <sheetName val="1.8.2020"/>
      <sheetName val="1.1.2021 vain opot"/>
      <sheetName val="1.4.2021"/>
      <sheetName val="1.6.2022"/>
      <sheetName val="1.8.2022"/>
      <sheetName val="1.10.2022"/>
      <sheetName val="1.6.2023"/>
      <sheetName val="1.5.2024"/>
      <sheetName val="1.6.2024"/>
    </sheetNames>
    <sheetDataSet>
      <sheetData sheetId="9">
        <row r="6">
          <cell r="C6">
            <v>38.22</v>
          </cell>
        </row>
        <row r="12">
          <cell r="C12">
            <v>3921.67</v>
          </cell>
          <cell r="D12">
            <v>4211.73</v>
          </cell>
          <cell r="E12">
            <v>3884.17</v>
          </cell>
          <cell r="F12">
            <v>4171.4</v>
          </cell>
        </row>
        <row r="13">
          <cell r="C13">
            <v>4051.03</v>
          </cell>
          <cell r="D13">
            <v>4381.38</v>
          </cell>
          <cell r="E13">
            <v>4012.26</v>
          </cell>
          <cell r="F13">
            <v>4339.45</v>
          </cell>
        </row>
        <row r="14">
          <cell r="C14">
            <v>4211.73</v>
          </cell>
          <cell r="D14">
            <v>4571.88</v>
          </cell>
          <cell r="E14">
            <v>4171.4</v>
          </cell>
          <cell r="F14">
            <v>4528.17</v>
          </cell>
        </row>
        <row r="15">
          <cell r="C15">
            <v>4390.75</v>
          </cell>
          <cell r="E15">
            <v>4348.71</v>
          </cell>
        </row>
        <row r="16">
          <cell r="C16">
            <v>4051.03</v>
          </cell>
          <cell r="D16">
            <v>4381.38</v>
          </cell>
          <cell r="E16">
            <v>4012.26</v>
          </cell>
          <cell r="F16">
            <v>4339.45</v>
          </cell>
        </row>
        <row r="17">
          <cell r="C17">
            <v>4381.38</v>
          </cell>
          <cell r="D17">
            <v>4766.35</v>
          </cell>
          <cell r="E17">
            <v>4339.45</v>
          </cell>
          <cell r="F17">
            <v>4720.72</v>
          </cell>
        </row>
        <row r="18">
          <cell r="C18">
            <v>4571.88</v>
          </cell>
          <cell r="D18">
            <v>4964.36</v>
          </cell>
          <cell r="E18">
            <v>4528.17</v>
          </cell>
          <cell r="F18">
            <v>4916.87</v>
          </cell>
        </row>
        <row r="19">
          <cell r="C19">
            <v>4766.35</v>
          </cell>
          <cell r="E19">
            <v>4720.72</v>
          </cell>
        </row>
        <row r="20">
          <cell r="C20">
            <v>4968.94</v>
          </cell>
          <cell r="E20">
            <v>4921.38</v>
          </cell>
        </row>
        <row r="21">
          <cell r="C21">
            <v>5208.24</v>
          </cell>
          <cell r="E21">
            <v>5158.39</v>
          </cell>
        </row>
        <row r="22">
          <cell r="C22">
            <v>4051.03</v>
          </cell>
          <cell r="D22">
            <v>4381.38</v>
          </cell>
          <cell r="E22">
            <v>4012.26</v>
          </cell>
          <cell r="F22">
            <v>4339.45</v>
          </cell>
        </row>
        <row r="23">
          <cell r="C23">
            <v>4211.73</v>
          </cell>
          <cell r="D23">
            <v>4571.88</v>
          </cell>
          <cell r="E23">
            <v>4171.4</v>
          </cell>
          <cell r="F23">
            <v>4528.17</v>
          </cell>
        </row>
        <row r="24">
          <cell r="C24">
            <v>4571.88</v>
          </cell>
          <cell r="D24">
            <v>4964.36</v>
          </cell>
          <cell r="E24">
            <v>4528.17</v>
          </cell>
          <cell r="F24">
            <v>4916.87</v>
          </cell>
        </row>
        <row r="25">
          <cell r="C25">
            <v>4766.35</v>
          </cell>
          <cell r="D25">
            <v>5193.45</v>
          </cell>
          <cell r="E25">
            <v>4720.72</v>
          </cell>
          <cell r="F25">
            <v>5143.77</v>
          </cell>
        </row>
        <row r="28">
          <cell r="C28">
            <v>4634.22</v>
          </cell>
          <cell r="D28">
            <v>5779.86</v>
          </cell>
          <cell r="E28">
            <v>4589.87</v>
          </cell>
          <cell r="F28">
            <v>5724.54</v>
          </cell>
        </row>
        <row r="29">
          <cell r="C29">
            <v>4634.22</v>
          </cell>
          <cell r="D29">
            <v>5779.86</v>
          </cell>
          <cell r="E29">
            <v>4589.87</v>
          </cell>
          <cell r="F29">
            <v>5724.54</v>
          </cell>
        </row>
        <row r="30">
          <cell r="C30">
            <v>3193.83</v>
          </cell>
          <cell r="E30">
            <v>3163.42</v>
          </cell>
        </row>
        <row r="32">
          <cell r="C32">
            <v>4001.87</v>
          </cell>
          <cell r="E32">
            <v>3968.6</v>
          </cell>
        </row>
        <row r="34">
          <cell r="C34">
            <v>4001.87</v>
          </cell>
          <cell r="E34">
            <v>3968.6</v>
          </cell>
        </row>
        <row r="36">
          <cell r="C36">
            <v>4001.87</v>
          </cell>
          <cell r="E36">
            <v>3968.6</v>
          </cell>
        </row>
        <row r="38">
          <cell r="C38">
            <v>4001.87</v>
          </cell>
          <cell r="E38">
            <v>3968.6</v>
          </cell>
        </row>
        <row r="42">
          <cell r="C42">
            <v>125.61</v>
          </cell>
        </row>
        <row r="45">
          <cell r="E45">
            <v>327.23</v>
          </cell>
        </row>
        <row r="46">
          <cell r="C46">
            <v>327.23</v>
          </cell>
          <cell r="E46">
            <v>654.49</v>
          </cell>
        </row>
        <row r="47">
          <cell r="C47">
            <v>490.88</v>
          </cell>
          <cell r="E47">
            <v>818.09</v>
          </cell>
        </row>
        <row r="48">
          <cell r="C48">
            <v>490.88</v>
          </cell>
          <cell r="E48">
            <v>1145.36</v>
          </cell>
        </row>
        <row r="49">
          <cell r="C49">
            <v>654.49</v>
          </cell>
          <cell r="E49">
            <v>1472.61</v>
          </cell>
        </row>
        <row r="50">
          <cell r="C50">
            <v>818.09</v>
          </cell>
          <cell r="E50">
            <v>1636.2</v>
          </cell>
        </row>
        <row r="51">
          <cell r="C51">
            <v>981.72</v>
          </cell>
          <cell r="E51">
            <v>1799.84</v>
          </cell>
        </row>
        <row r="53">
          <cell r="C53">
            <v>223.77</v>
          </cell>
        </row>
        <row r="54">
          <cell r="C54">
            <v>335.62</v>
          </cell>
        </row>
        <row r="55">
          <cell r="C55">
            <v>447.49</v>
          </cell>
        </row>
        <row r="56">
          <cell r="C56">
            <v>559.36</v>
          </cell>
        </row>
        <row r="58">
          <cell r="C58">
            <v>111.84</v>
          </cell>
        </row>
        <row r="62">
          <cell r="C62">
            <v>3040.18</v>
          </cell>
          <cell r="E62">
            <v>3011.42</v>
          </cell>
        </row>
        <row r="63">
          <cell r="C63">
            <v>2834.28</v>
          </cell>
          <cell r="E63">
            <v>2807.49</v>
          </cell>
        </row>
        <row r="64">
          <cell r="C64">
            <v>2484.34</v>
          </cell>
          <cell r="E64">
            <v>2460.84</v>
          </cell>
        </row>
        <row r="65">
          <cell r="C65">
            <v>2377.98</v>
          </cell>
          <cell r="E65">
            <v>2355.5</v>
          </cell>
        </row>
        <row r="66">
          <cell r="C66">
            <v>2249.57</v>
          </cell>
          <cell r="E66">
            <v>2228.74</v>
          </cell>
        </row>
        <row r="67">
          <cell r="C67">
            <v>3061.29</v>
          </cell>
          <cell r="E67">
            <v>3032.34</v>
          </cell>
        </row>
        <row r="68">
          <cell r="C68">
            <v>2954.25</v>
          </cell>
          <cell r="E68">
            <v>2926.3</v>
          </cell>
        </row>
        <row r="69">
          <cell r="C69">
            <v>2859.55</v>
          </cell>
          <cell r="E69">
            <v>2832.47</v>
          </cell>
        </row>
        <row r="70">
          <cell r="C70">
            <v>2814.96</v>
          </cell>
          <cell r="E70">
            <v>2788.36</v>
          </cell>
        </row>
        <row r="71">
          <cell r="C71">
            <v>2697.88</v>
          </cell>
          <cell r="E71">
            <v>2672.42</v>
          </cell>
        </row>
        <row r="72">
          <cell r="C72">
            <v>2358.05</v>
          </cell>
          <cell r="E72">
            <v>2335.99</v>
          </cell>
        </row>
        <row r="73">
          <cell r="C73">
            <v>3040.18</v>
          </cell>
          <cell r="E73">
            <v>3011.42</v>
          </cell>
        </row>
        <row r="74">
          <cell r="C74">
            <v>2830.17</v>
          </cell>
          <cell r="E74">
            <v>2803.42</v>
          </cell>
        </row>
        <row r="75">
          <cell r="C75">
            <v>2724.09</v>
          </cell>
          <cell r="E75">
            <v>2698.31</v>
          </cell>
        </row>
        <row r="76">
          <cell r="C76">
            <v>2224.91</v>
          </cell>
          <cell r="E76">
            <v>2204.48</v>
          </cell>
        </row>
        <row r="77">
          <cell r="C77">
            <v>2124</v>
          </cell>
          <cell r="E77">
            <v>2105.31</v>
          </cell>
        </row>
        <row r="78">
          <cell r="C78">
            <v>2442.16</v>
          </cell>
          <cell r="E78">
            <v>2419.05</v>
          </cell>
        </row>
        <row r="79">
          <cell r="C79">
            <v>2442.16</v>
          </cell>
          <cell r="E79">
            <v>2419.05</v>
          </cell>
        </row>
        <row r="80">
          <cell r="C80">
            <v>2391.35</v>
          </cell>
          <cell r="E80">
            <v>2368.69</v>
          </cell>
        </row>
        <row r="81">
          <cell r="C81">
            <v>2061.18</v>
          </cell>
          <cell r="E81">
            <v>2044.29</v>
          </cell>
        </row>
        <row r="82">
          <cell r="C82">
            <v>3040.18</v>
          </cell>
          <cell r="E82">
            <v>3011.42</v>
          </cell>
        </row>
        <row r="83">
          <cell r="C83">
            <v>2834.28</v>
          </cell>
          <cell r="E83">
            <v>2807.49</v>
          </cell>
        </row>
        <row r="84">
          <cell r="C84">
            <v>2484.34</v>
          </cell>
          <cell r="E84">
            <v>2460.84</v>
          </cell>
        </row>
        <row r="85">
          <cell r="C85">
            <v>2377.98</v>
          </cell>
          <cell r="E85">
            <v>2355.5</v>
          </cell>
        </row>
        <row r="86">
          <cell r="C86">
            <v>2249.57</v>
          </cell>
          <cell r="E86">
            <v>2228.74</v>
          </cell>
        </row>
        <row r="87">
          <cell r="C87">
            <v>3061.29</v>
          </cell>
          <cell r="E87">
            <v>3032.34</v>
          </cell>
        </row>
        <row r="88">
          <cell r="C88">
            <v>2954.25</v>
          </cell>
          <cell r="E88">
            <v>2926.3</v>
          </cell>
        </row>
        <row r="89">
          <cell r="C89">
            <v>2859.55</v>
          </cell>
          <cell r="E89">
            <v>2832.47</v>
          </cell>
        </row>
        <row r="90">
          <cell r="C90">
            <v>2814.96</v>
          </cell>
          <cell r="E90">
            <v>2788.36</v>
          </cell>
        </row>
        <row r="91">
          <cell r="C91">
            <v>2697.88</v>
          </cell>
          <cell r="E91">
            <v>2672.42</v>
          </cell>
        </row>
        <row r="92">
          <cell r="C92">
            <v>2358.05</v>
          </cell>
          <cell r="E92">
            <v>2335.99</v>
          </cell>
        </row>
        <row r="93">
          <cell r="C93">
            <v>3040.18</v>
          </cell>
          <cell r="E93">
            <v>3011.42</v>
          </cell>
        </row>
        <row r="94">
          <cell r="C94">
            <v>2830.17</v>
          </cell>
          <cell r="E94">
            <v>2803.42</v>
          </cell>
        </row>
        <row r="95">
          <cell r="C95">
            <v>2724.09</v>
          </cell>
          <cell r="E95">
            <v>2698.31</v>
          </cell>
        </row>
        <row r="96">
          <cell r="C96">
            <v>2224.91</v>
          </cell>
          <cell r="E96">
            <v>2204.48</v>
          </cell>
        </row>
        <row r="97">
          <cell r="C97">
            <v>2124</v>
          </cell>
          <cell r="E97">
            <v>2105.31</v>
          </cell>
        </row>
        <row r="98">
          <cell r="C98">
            <v>2442.16</v>
          </cell>
          <cell r="E98">
            <v>2419.05</v>
          </cell>
        </row>
        <row r="99">
          <cell r="C99">
            <v>2442.16</v>
          </cell>
          <cell r="E99">
            <v>2419.05</v>
          </cell>
        </row>
        <row r="100">
          <cell r="C100">
            <v>2391.35</v>
          </cell>
          <cell r="E100">
            <v>2368.69</v>
          </cell>
        </row>
        <row r="101">
          <cell r="C101">
            <v>2061.18</v>
          </cell>
          <cell r="E101">
            <v>2044.29</v>
          </cell>
        </row>
        <row r="105">
          <cell r="C105">
            <v>203.86</v>
          </cell>
        </row>
        <row r="106">
          <cell r="C106">
            <v>407.69</v>
          </cell>
        </row>
        <row r="107">
          <cell r="C107">
            <v>611.56</v>
          </cell>
        </row>
        <row r="111">
          <cell r="C111">
            <v>3192.13</v>
          </cell>
          <cell r="E111">
            <v>3161.98</v>
          </cell>
        </row>
        <row r="112">
          <cell r="C112">
            <v>3046.48</v>
          </cell>
          <cell r="E112">
            <v>3017.62</v>
          </cell>
        </row>
        <row r="113">
          <cell r="C113">
            <v>2571.08</v>
          </cell>
          <cell r="E113">
            <v>2546.8</v>
          </cell>
        </row>
        <row r="114">
          <cell r="C114">
            <v>2277.99</v>
          </cell>
          <cell r="E114">
            <v>2256.92</v>
          </cell>
        </row>
        <row r="115">
          <cell r="C115">
            <v>3192.13</v>
          </cell>
          <cell r="E115">
            <v>3161.98</v>
          </cell>
        </row>
        <row r="116">
          <cell r="C116">
            <v>2766.2</v>
          </cell>
          <cell r="E116">
            <v>2740.04</v>
          </cell>
        </row>
        <row r="117">
          <cell r="C117">
            <v>2457.39</v>
          </cell>
          <cell r="E117">
            <v>2434.14</v>
          </cell>
        </row>
        <row r="118">
          <cell r="C118">
            <v>2277.99</v>
          </cell>
          <cell r="E118">
            <v>2256.92</v>
          </cell>
        </row>
        <row r="121">
          <cell r="C121">
            <v>121.17</v>
          </cell>
        </row>
        <row r="122">
          <cell r="C122">
            <v>40.46</v>
          </cell>
        </row>
        <row r="123">
          <cell r="C123">
            <v>40.46</v>
          </cell>
        </row>
        <row r="128">
          <cell r="C128">
            <v>3192.13</v>
          </cell>
          <cell r="E128">
            <v>3161.98</v>
          </cell>
        </row>
        <row r="129">
          <cell r="C129">
            <v>3043.51</v>
          </cell>
          <cell r="E129">
            <v>3014.69</v>
          </cell>
        </row>
        <row r="130">
          <cell r="C130">
            <v>2573.64</v>
          </cell>
          <cell r="E130">
            <v>2549.34</v>
          </cell>
        </row>
        <row r="131">
          <cell r="C131">
            <v>2279.11</v>
          </cell>
          <cell r="E131">
            <v>2258.02</v>
          </cell>
        </row>
        <row r="132">
          <cell r="C132">
            <v>3192.13</v>
          </cell>
          <cell r="E132">
            <v>3161.98</v>
          </cell>
        </row>
        <row r="133">
          <cell r="C133">
            <v>2766.2</v>
          </cell>
          <cell r="E133">
            <v>2740.04</v>
          </cell>
        </row>
        <row r="134">
          <cell r="C134">
            <v>2457.39</v>
          </cell>
          <cell r="E134">
            <v>2434.14</v>
          </cell>
        </row>
        <row r="135">
          <cell r="C135">
            <v>2277.99</v>
          </cell>
          <cell r="E135">
            <v>2256.92</v>
          </cell>
        </row>
        <row r="138">
          <cell r="C138">
            <v>121.17</v>
          </cell>
        </row>
        <row r="139">
          <cell r="C139">
            <v>40.46</v>
          </cell>
        </row>
        <row r="140">
          <cell r="C140">
            <v>40.46</v>
          </cell>
        </row>
        <row r="144">
          <cell r="C144">
            <v>4159.07</v>
          </cell>
          <cell r="E144">
            <v>4119.21</v>
          </cell>
        </row>
        <row r="145">
          <cell r="C145">
            <v>3949.53</v>
          </cell>
          <cell r="E145">
            <v>3911.58</v>
          </cell>
        </row>
        <row r="146">
          <cell r="C146">
            <v>3812.86</v>
          </cell>
          <cell r="E146">
            <v>3775.92</v>
          </cell>
        </row>
        <row r="150">
          <cell r="C150">
            <v>3586.66</v>
          </cell>
          <cell r="E150">
            <v>3552.6</v>
          </cell>
        </row>
        <row r="151">
          <cell r="C151">
            <v>3785.05</v>
          </cell>
          <cell r="E151">
            <v>3749.11</v>
          </cell>
        </row>
        <row r="152">
          <cell r="C152">
            <v>3925.24</v>
          </cell>
          <cell r="E152">
            <v>3887.99</v>
          </cell>
        </row>
        <row r="153">
          <cell r="C153">
            <v>4143.95</v>
          </cell>
          <cell r="E153">
            <v>4104.62</v>
          </cell>
        </row>
        <row r="154">
          <cell r="C154">
            <v>4375.78</v>
          </cell>
          <cell r="E154">
            <v>4334.26</v>
          </cell>
        </row>
        <row r="155">
          <cell r="C155">
            <v>4621.54</v>
          </cell>
          <cell r="E155">
            <v>4577.66</v>
          </cell>
        </row>
        <row r="157">
          <cell r="C157">
            <v>3286.26</v>
          </cell>
          <cell r="E157">
            <v>3254.6</v>
          </cell>
        </row>
        <row r="158">
          <cell r="C158">
            <v>3351.98</v>
          </cell>
          <cell r="E158">
            <v>3319.68</v>
          </cell>
        </row>
        <row r="159">
          <cell r="C159">
            <v>3452.54</v>
          </cell>
          <cell r="E159">
            <v>3419.28</v>
          </cell>
        </row>
        <row r="160">
          <cell r="C160">
            <v>3625.15</v>
          </cell>
          <cell r="E160">
            <v>3590.28</v>
          </cell>
        </row>
        <row r="161">
          <cell r="C161">
            <v>3913.6</v>
          </cell>
          <cell r="E161">
            <v>3875.9</v>
          </cell>
        </row>
        <row r="162">
          <cell r="C162">
            <v>4070.14</v>
          </cell>
          <cell r="E162">
            <v>4030.94</v>
          </cell>
        </row>
        <row r="165">
          <cell r="C165">
            <v>3586.66</v>
          </cell>
          <cell r="E165">
            <v>3552.6</v>
          </cell>
        </row>
        <row r="166">
          <cell r="C166">
            <v>3785.05</v>
          </cell>
          <cell r="E166">
            <v>3749.11</v>
          </cell>
        </row>
        <row r="167">
          <cell r="C167">
            <v>3925.24</v>
          </cell>
          <cell r="E167">
            <v>3887.99</v>
          </cell>
        </row>
        <row r="168">
          <cell r="C168">
            <v>4143.95</v>
          </cell>
          <cell r="E168">
            <v>4104.62</v>
          </cell>
        </row>
        <row r="169">
          <cell r="C169">
            <v>4375.78</v>
          </cell>
          <cell r="E169">
            <v>4334.26</v>
          </cell>
        </row>
        <row r="170">
          <cell r="C170">
            <v>4621.54</v>
          </cell>
          <cell r="E170">
            <v>4577.66</v>
          </cell>
        </row>
        <row r="173">
          <cell r="C173">
            <v>3171.7</v>
          </cell>
          <cell r="E173">
            <v>3141.6</v>
          </cell>
        </row>
        <row r="174">
          <cell r="C174">
            <v>3347.15</v>
          </cell>
          <cell r="E174">
            <v>3315.39</v>
          </cell>
        </row>
        <row r="175">
          <cell r="C175">
            <v>3471.13</v>
          </cell>
          <cell r="E175">
            <v>3438.19</v>
          </cell>
        </row>
        <row r="176">
          <cell r="C176">
            <v>3664.54</v>
          </cell>
          <cell r="E176">
            <v>3629.76</v>
          </cell>
        </row>
        <row r="177">
          <cell r="C177">
            <v>3869.55</v>
          </cell>
          <cell r="E177">
            <v>3832.83</v>
          </cell>
        </row>
        <row r="178">
          <cell r="C178">
            <v>4086.87</v>
          </cell>
          <cell r="E178">
            <v>4048.08</v>
          </cell>
        </row>
        <row r="181">
          <cell r="C181">
            <v>2916.45</v>
          </cell>
          <cell r="E181">
            <v>2888.82</v>
          </cell>
        </row>
        <row r="182">
          <cell r="C182">
            <v>3077.77</v>
          </cell>
          <cell r="E182">
            <v>3048.62</v>
          </cell>
        </row>
        <row r="183">
          <cell r="C183">
            <v>3191.77</v>
          </cell>
          <cell r="E183">
            <v>3161.53</v>
          </cell>
        </row>
        <row r="184">
          <cell r="C184">
            <v>3369.62</v>
          </cell>
          <cell r="E184">
            <v>3337.71</v>
          </cell>
        </row>
        <row r="185">
          <cell r="C185">
            <v>3558.14</v>
          </cell>
          <cell r="E185">
            <v>3524.43</v>
          </cell>
        </row>
        <row r="186">
          <cell r="C186">
            <v>3757.96</v>
          </cell>
          <cell r="E186">
            <v>3722.36</v>
          </cell>
        </row>
        <row r="189">
          <cell r="C189">
            <v>2910.83</v>
          </cell>
          <cell r="E189">
            <v>2883.16</v>
          </cell>
        </row>
        <row r="190">
          <cell r="C190">
            <v>3071.85</v>
          </cell>
          <cell r="E190">
            <v>3042.68</v>
          </cell>
        </row>
        <row r="191">
          <cell r="C191">
            <v>3185.64</v>
          </cell>
          <cell r="E191">
            <v>3155.37</v>
          </cell>
        </row>
        <row r="192">
          <cell r="C192">
            <v>3363.13</v>
          </cell>
          <cell r="E192">
            <v>3331.19</v>
          </cell>
        </row>
        <row r="193">
          <cell r="C193">
            <v>3551.28</v>
          </cell>
          <cell r="E193">
            <v>3517.55</v>
          </cell>
        </row>
        <row r="194">
          <cell r="C194">
            <v>3750.72</v>
          </cell>
          <cell r="E194">
            <v>3715.09</v>
          </cell>
        </row>
        <row r="198">
          <cell r="C198">
            <v>28.09</v>
          </cell>
        </row>
        <row r="200">
          <cell r="C200">
            <v>32.14</v>
          </cell>
          <cell r="E200">
            <v>31.83</v>
          </cell>
        </row>
        <row r="201">
          <cell r="C201">
            <v>27.98</v>
          </cell>
          <cell r="E201">
            <v>27.72</v>
          </cell>
        </row>
        <row r="202">
          <cell r="C202">
            <v>26.13</v>
          </cell>
          <cell r="E202">
            <v>25.88</v>
          </cell>
        </row>
        <row r="203">
          <cell r="C203">
            <v>25.52</v>
          </cell>
          <cell r="E203">
            <v>25.28</v>
          </cell>
        </row>
        <row r="207">
          <cell r="C207">
            <v>4159.07</v>
          </cell>
          <cell r="E207">
            <v>4119.21</v>
          </cell>
        </row>
        <row r="208">
          <cell r="C208">
            <v>3949.53</v>
          </cell>
          <cell r="E208">
            <v>3911.58</v>
          </cell>
        </row>
        <row r="209">
          <cell r="C209">
            <v>3812.86</v>
          </cell>
          <cell r="E209">
            <v>3775.92</v>
          </cell>
        </row>
        <row r="210">
          <cell r="C210">
            <v>3631.71</v>
          </cell>
          <cell r="E210">
            <v>3596.49</v>
          </cell>
        </row>
        <row r="211">
          <cell r="C211">
            <v>3527.25</v>
          </cell>
          <cell r="E211">
            <v>3493.27</v>
          </cell>
        </row>
        <row r="214">
          <cell r="C214">
            <v>40.46</v>
          </cell>
        </row>
        <row r="218">
          <cell r="C218">
            <v>3306.6</v>
          </cell>
          <cell r="E218">
            <v>3275.22</v>
          </cell>
        </row>
        <row r="219">
          <cell r="C219">
            <v>2879.41</v>
          </cell>
          <cell r="E219">
            <v>2852.09</v>
          </cell>
        </row>
        <row r="220">
          <cell r="C220">
            <v>2688.72</v>
          </cell>
          <cell r="E220">
            <v>2663.26</v>
          </cell>
        </row>
        <row r="221">
          <cell r="C221">
            <v>2625.8</v>
          </cell>
          <cell r="E221">
            <v>2600.86</v>
          </cell>
        </row>
        <row r="222">
          <cell r="C222">
            <v>3006.54</v>
          </cell>
          <cell r="E222">
            <v>2978.01</v>
          </cell>
        </row>
        <row r="223">
          <cell r="C223">
            <v>2469.33</v>
          </cell>
          <cell r="E223">
            <v>2445.93</v>
          </cell>
        </row>
        <row r="224">
          <cell r="C224">
            <v>3306.6</v>
          </cell>
          <cell r="E224">
            <v>3275.22</v>
          </cell>
        </row>
        <row r="225">
          <cell r="C225">
            <v>2879.41</v>
          </cell>
          <cell r="E225">
            <v>2852.09</v>
          </cell>
        </row>
        <row r="226">
          <cell r="C226">
            <v>2688.72</v>
          </cell>
          <cell r="E226">
            <v>2663.26</v>
          </cell>
        </row>
        <row r="227">
          <cell r="C227">
            <v>2625.8</v>
          </cell>
          <cell r="E227">
            <v>2600.86</v>
          </cell>
        </row>
        <row r="228">
          <cell r="C228">
            <v>3006.54</v>
          </cell>
          <cell r="E228">
            <v>2978.01</v>
          </cell>
        </row>
        <row r="229">
          <cell r="C229">
            <v>2469.33</v>
          </cell>
          <cell r="E229">
            <v>2445.93</v>
          </cell>
        </row>
        <row r="233">
          <cell r="C233">
            <v>3128.99</v>
          </cell>
          <cell r="E233">
            <v>3099.28</v>
          </cell>
        </row>
        <row r="234">
          <cell r="C234">
            <v>2775.1</v>
          </cell>
          <cell r="E234">
            <v>2748.8</v>
          </cell>
        </row>
        <row r="235">
          <cell r="C235">
            <v>2493.63</v>
          </cell>
          <cell r="E235">
            <v>2469.95</v>
          </cell>
        </row>
        <row r="236">
          <cell r="C236">
            <v>3128.99</v>
          </cell>
          <cell r="E236">
            <v>3099.28</v>
          </cell>
        </row>
        <row r="237">
          <cell r="C237">
            <v>2775.1</v>
          </cell>
          <cell r="E237">
            <v>2748.8</v>
          </cell>
        </row>
        <row r="238">
          <cell r="C238">
            <v>2493.63</v>
          </cell>
          <cell r="E238">
            <v>2469.95</v>
          </cell>
        </row>
        <row r="242">
          <cell r="C242">
            <v>2611.95</v>
          </cell>
          <cell r="E242">
            <v>2587.16</v>
          </cell>
        </row>
        <row r="243">
          <cell r="C243">
            <v>2477.92</v>
          </cell>
          <cell r="E243">
            <v>2454.43</v>
          </cell>
        </row>
        <row r="244">
          <cell r="C244">
            <v>2460.64</v>
          </cell>
          <cell r="E244">
            <v>2437.3</v>
          </cell>
        </row>
        <row r="245">
          <cell r="C245">
            <v>2247.1</v>
          </cell>
          <cell r="E245">
            <v>2226.21</v>
          </cell>
        </row>
        <row r="246">
          <cell r="C246">
            <v>2611.95</v>
          </cell>
          <cell r="E246">
            <v>2587.16</v>
          </cell>
        </row>
        <row r="247">
          <cell r="C247">
            <v>2460.64</v>
          </cell>
          <cell r="E247">
            <v>2437.3</v>
          </cell>
        </row>
        <row r="248">
          <cell r="C248">
            <v>2611.95</v>
          </cell>
          <cell r="E248">
            <v>2587.16</v>
          </cell>
        </row>
        <row r="249">
          <cell r="C249">
            <v>2477.92</v>
          </cell>
          <cell r="E249">
            <v>2454.43</v>
          </cell>
        </row>
        <row r="250">
          <cell r="C250">
            <v>2460.64</v>
          </cell>
          <cell r="E250">
            <v>2437.3</v>
          </cell>
        </row>
        <row r="251">
          <cell r="C251">
            <v>2247.1</v>
          </cell>
          <cell r="E251">
            <v>2226.21</v>
          </cell>
        </row>
        <row r="252">
          <cell r="C252">
            <v>2611.95</v>
          </cell>
          <cell r="E252">
            <v>2587.16</v>
          </cell>
        </row>
        <row r="253">
          <cell r="C253">
            <v>2460.64</v>
          </cell>
          <cell r="E253">
            <v>2437.3</v>
          </cell>
        </row>
        <row r="257">
          <cell r="C257">
            <v>3439.91</v>
          </cell>
          <cell r="E257">
            <v>3406.91</v>
          </cell>
        </row>
        <row r="258">
          <cell r="C258">
            <v>3275.1</v>
          </cell>
          <cell r="E258">
            <v>3243.63</v>
          </cell>
        </row>
        <row r="259">
          <cell r="C259">
            <v>3439.91</v>
          </cell>
          <cell r="E259">
            <v>3406.91</v>
          </cell>
        </row>
        <row r="260">
          <cell r="C260">
            <v>3275.1</v>
          </cell>
          <cell r="E260">
            <v>3243.63</v>
          </cell>
        </row>
        <row r="264">
          <cell r="C264">
            <v>3466.74</v>
          </cell>
          <cell r="E264">
            <v>3433.83</v>
          </cell>
        </row>
        <row r="265">
          <cell r="C265">
            <v>3165.57</v>
          </cell>
          <cell r="E265">
            <v>3135.53</v>
          </cell>
        </row>
        <row r="266">
          <cell r="C266">
            <v>3073.93</v>
          </cell>
          <cell r="E266">
            <v>3044.8</v>
          </cell>
        </row>
        <row r="267">
          <cell r="C267">
            <v>2874.24</v>
          </cell>
          <cell r="E267">
            <v>2846.94</v>
          </cell>
        </row>
        <row r="268">
          <cell r="C268">
            <v>3329.56</v>
          </cell>
          <cell r="E268">
            <v>3297.97</v>
          </cell>
        </row>
        <row r="269">
          <cell r="C269">
            <v>3073.93</v>
          </cell>
          <cell r="E269">
            <v>3044.8</v>
          </cell>
        </row>
        <row r="270">
          <cell r="C270">
            <v>3466.74</v>
          </cell>
          <cell r="E270">
            <v>3433.83</v>
          </cell>
        </row>
        <row r="271">
          <cell r="C271">
            <v>3165.57</v>
          </cell>
          <cell r="E271">
            <v>3135.53</v>
          </cell>
        </row>
        <row r="272">
          <cell r="C272">
            <v>3073.93</v>
          </cell>
          <cell r="E272">
            <v>3044.8</v>
          </cell>
        </row>
        <row r="273">
          <cell r="C273">
            <v>2874.24</v>
          </cell>
          <cell r="E273">
            <v>2846.94</v>
          </cell>
        </row>
        <row r="274">
          <cell r="C274">
            <v>3329.56</v>
          </cell>
          <cell r="E274">
            <v>3297.97</v>
          </cell>
        </row>
        <row r="275">
          <cell r="C275">
            <v>3073.93</v>
          </cell>
          <cell r="E275">
            <v>3044.8</v>
          </cell>
        </row>
        <row r="279">
          <cell r="C279">
            <v>2993.41</v>
          </cell>
          <cell r="E279">
            <v>2964.96</v>
          </cell>
        </row>
        <row r="280">
          <cell r="C280">
            <v>3266.27</v>
          </cell>
          <cell r="E280">
            <v>3235.28</v>
          </cell>
        </row>
        <row r="281">
          <cell r="C281">
            <v>3059.99</v>
          </cell>
          <cell r="E281">
            <v>3030.95</v>
          </cell>
        </row>
        <row r="282">
          <cell r="C282">
            <v>2445.33</v>
          </cell>
          <cell r="E282">
            <v>2422.12</v>
          </cell>
        </row>
        <row r="283">
          <cell r="C283">
            <v>2335.17</v>
          </cell>
          <cell r="E283">
            <v>2313.49</v>
          </cell>
        </row>
        <row r="284">
          <cell r="C284">
            <v>3006.67</v>
          </cell>
          <cell r="E284">
            <v>2978.11</v>
          </cell>
        </row>
        <row r="285">
          <cell r="C285">
            <v>2675.25</v>
          </cell>
          <cell r="E285">
            <v>2649.91</v>
          </cell>
        </row>
        <row r="286">
          <cell r="C286">
            <v>2617.73</v>
          </cell>
          <cell r="E286">
            <v>2592.9</v>
          </cell>
        </row>
        <row r="287">
          <cell r="C287">
            <v>3266.27</v>
          </cell>
          <cell r="E287">
            <v>3235.28</v>
          </cell>
        </row>
        <row r="288">
          <cell r="C288">
            <v>3059.99</v>
          </cell>
          <cell r="E288">
            <v>3030.95</v>
          </cell>
        </row>
        <row r="289">
          <cell r="C289">
            <v>2445.33</v>
          </cell>
          <cell r="E289">
            <v>2422.12</v>
          </cell>
        </row>
        <row r="290">
          <cell r="C290">
            <v>2335.17</v>
          </cell>
          <cell r="E290">
            <v>2313.49</v>
          </cell>
        </row>
        <row r="291">
          <cell r="C291">
            <v>3006.67</v>
          </cell>
          <cell r="E291">
            <v>2978.11</v>
          </cell>
        </row>
        <row r="292">
          <cell r="C292">
            <v>2675.25</v>
          </cell>
          <cell r="E292">
            <v>2649.91</v>
          </cell>
        </row>
        <row r="293">
          <cell r="C293">
            <v>2617.73</v>
          </cell>
          <cell r="E293">
            <v>2592.9</v>
          </cell>
        </row>
        <row r="297">
          <cell r="C297">
            <v>3850.16</v>
          </cell>
          <cell r="D297">
            <v>4847.42</v>
          </cell>
          <cell r="E297">
            <v>3813.21</v>
          </cell>
          <cell r="F297">
            <v>4800.86</v>
          </cell>
        </row>
        <row r="298">
          <cell r="C298">
            <v>3464.69</v>
          </cell>
          <cell r="D298">
            <v>4283.31</v>
          </cell>
          <cell r="E298">
            <v>3431.4</v>
          </cell>
          <cell r="F298">
            <v>4242.19</v>
          </cell>
        </row>
        <row r="301">
          <cell r="C301">
            <v>2705.2</v>
          </cell>
          <cell r="E301">
            <v>2679.46</v>
          </cell>
        </row>
        <row r="302">
          <cell r="C302">
            <v>2634.41</v>
          </cell>
          <cell r="E302">
            <v>2609.36</v>
          </cell>
        </row>
        <row r="303">
          <cell r="C303">
            <v>2370.45</v>
          </cell>
          <cell r="E303">
            <v>2347.9</v>
          </cell>
        </row>
        <row r="304">
          <cell r="C304">
            <v>2705.2</v>
          </cell>
          <cell r="E304">
            <v>2679.46</v>
          </cell>
        </row>
        <row r="305">
          <cell r="C305">
            <v>2478.29</v>
          </cell>
          <cell r="E305">
            <v>2454.67</v>
          </cell>
        </row>
        <row r="306">
          <cell r="C306">
            <v>2428.92</v>
          </cell>
          <cell r="E306">
            <v>2405.78</v>
          </cell>
        </row>
        <row r="307">
          <cell r="C307">
            <v>2261.81</v>
          </cell>
          <cell r="E307">
            <v>2240.75</v>
          </cell>
        </row>
        <row r="310">
          <cell r="C310">
            <v>29.29</v>
          </cell>
        </row>
        <row r="311">
          <cell r="C311">
            <v>28.73</v>
          </cell>
        </row>
        <row r="312">
          <cell r="C312">
            <v>26.92</v>
          </cell>
        </row>
        <row r="316">
          <cell r="C316">
            <v>3362.44</v>
          </cell>
          <cell r="D316">
            <v>3920.41</v>
          </cell>
          <cell r="E316">
            <v>3336.74</v>
          </cell>
          <cell r="F316">
            <v>3882.84</v>
          </cell>
        </row>
        <row r="317">
          <cell r="C317">
            <v>3362.44</v>
          </cell>
          <cell r="D317">
            <v>3920.41</v>
          </cell>
          <cell r="E317">
            <v>3336.74</v>
          </cell>
          <cell r="F317">
            <v>3882.84</v>
          </cell>
        </row>
        <row r="318">
          <cell r="C318">
            <v>2306.44</v>
          </cell>
          <cell r="D318">
            <v>2615.38</v>
          </cell>
          <cell r="E318">
            <v>2286.09</v>
          </cell>
          <cell r="F318">
            <v>2590.37</v>
          </cell>
        </row>
        <row r="319">
          <cell r="C319">
            <v>2393.4</v>
          </cell>
          <cell r="D319">
            <v>2760.77</v>
          </cell>
          <cell r="E319">
            <v>2371.66</v>
          </cell>
          <cell r="F319">
            <v>2734.35</v>
          </cell>
        </row>
        <row r="322">
          <cell r="C322">
            <v>25.74</v>
          </cell>
          <cell r="D322">
            <v>32.97</v>
          </cell>
        </row>
        <row r="326">
          <cell r="C326">
            <v>3814.65</v>
          </cell>
          <cell r="D326">
            <v>4606.75</v>
          </cell>
          <cell r="E326">
            <v>3778.14</v>
          </cell>
          <cell r="F326">
            <v>4564.26</v>
          </cell>
        </row>
        <row r="327">
          <cell r="C327">
            <v>3229.56</v>
          </cell>
          <cell r="D327">
            <v>4081.88</v>
          </cell>
          <cell r="E327">
            <v>3198.65</v>
          </cell>
          <cell r="F327">
            <v>4042.86</v>
          </cell>
        </row>
        <row r="328">
          <cell r="C328">
            <v>2717.71</v>
          </cell>
          <cell r="E328">
            <v>2691.96</v>
          </cell>
        </row>
        <row r="329">
          <cell r="C329">
            <v>2445.28</v>
          </cell>
          <cell r="E329">
            <v>2422.12</v>
          </cell>
        </row>
        <row r="330">
          <cell r="C330">
            <v>3008.88</v>
          </cell>
          <cell r="D330">
            <v>3339.25</v>
          </cell>
        </row>
        <row r="331">
          <cell r="C331">
            <v>2721.36</v>
          </cell>
          <cell r="D331">
            <v>2961.43</v>
          </cell>
        </row>
        <row r="334">
          <cell r="C334">
            <v>26.21</v>
          </cell>
          <cell r="D334">
            <v>30.06</v>
          </cell>
        </row>
        <row r="337">
          <cell r="C337">
            <v>68.88</v>
          </cell>
        </row>
        <row r="341">
          <cell r="C341">
            <v>3707.79</v>
          </cell>
          <cell r="D341">
            <v>4433.7</v>
          </cell>
          <cell r="E341">
            <v>3672.33</v>
          </cell>
          <cell r="F341">
            <v>4375.73</v>
          </cell>
        </row>
        <row r="342">
          <cell r="C342">
            <v>3437.5</v>
          </cell>
          <cell r="E342">
            <v>3404.89</v>
          </cell>
        </row>
        <row r="343">
          <cell r="C343">
            <v>3351.42</v>
          </cell>
          <cell r="E343">
            <v>3319.62</v>
          </cell>
        </row>
        <row r="344">
          <cell r="C344">
            <v>2877.43</v>
          </cell>
          <cell r="E344">
            <v>2850.14</v>
          </cell>
        </row>
        <row r="347">
          <cell r="C347">
            <v>26.21</v>
          </cell>
          <cell r="D347">
            <v>30.06</v>
          </cell>
        </row>
        <row r="351">
          <cell r="C351">
            <v>3000.02</v>
          </cell>
        </row>
        <row r="352">
          <cell r="C352">
            <v>2877.53</v>
          </cell>
        </row>
        <row r="353">
          <cell r="C353">
            <v>2734.34</v>
          </cell>
        </row>
        <row r="354">
          <cell r="C354">
            <v>2734.34</v>
          </cell>
        </row>
        <row r="355">
          <cell r="C355">
            <v>2568.34</v>
          </cell>
        </row>
        <row r="356">
          <cell r="C356">
            <v>2568.34</v>
          </cell>
        </row>
        <row r="359">
          <cell r="C359">
            <v>2697.83</v>
          </cell>
        </row>
        <row r="360">
          <cell r="C360">
            <v>2480.71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X11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0.9921875" style="31" customWidth="1"/>
    <col min="6" max="6" width="7.28125" style="31" customWidth="1"/>
    <col min="7" max="7" width="8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9.421875" style="31" customWidth="1"/>
    <col min="14" max="14" width="0.85546875" style="34" customWidth="1"/>
    <col min="15" max="24" width="9.140625" style="34" customWidth="1"/>
    <col min="25" max="16384" width="9.140625" style="31" customWidth="1"/>
  </cols>
  <sheetData>
    <row r="1" spans="1:13" ht="15.75" customHeight="1" thickBot="1">
      <c r="A1" s="137" t="s">
        <v>509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 t="s">
        <v>459</v>
      </c>
      <c r="M1" s="47"/>
    </row>
    <row r="2" spans="1:13" ht="2.25" customHeight="1" hidden="1" thickBot="1">
      <c r="A2" s="89"/>
      <c r="B2" s="48"/>
      <c r="C2" s="48"/>
      <c r="D2" s="48"/>
      <c r="E2" s="65"/>
      <c r="F2" s="65"/>
      <c r="G2" s="65"/>
      <c r="H2" s="65"/>
      <c r="I2" s="65"/>
      <c r="J2" s="65"/>
      <c r="K2" s="65"/>
      <c r="L2" s="65"/>
      <c r="M2" s="76"/>
    </row>
    <row r="3" spans="1:13" ht="12.75" customHeight="1">
      <c r="A3" s="90" t="s">
        <v>76</v>
      </c>
      <c r="B3" s="73" t="s">
        <v>232</v>
      </c>
      <c r="C3" s="168"/>
      <c r="D3" s="56"/>
      <c r="E3" s="55" t="s">
        <v>86</v>
      </c>
      <c r="F3" s="175"/>
      <c r="G3" s="216"/>
      <c r="H3" s="213" t="s">
        <v>88</v>
      </c>
      <c r="I3" s="53"/>
      <c r="J3" s="110"/>
      <c r="K3" s="278" t="s">
        <v>112</v>
      </c>
      <c r="L3" s="279"/>
      <c r="M3" s="280"/>
    </row>
    <row r="4" spans="1:13" ht="13.5" customHeight="1">
      <c r="A4" s="29"/>
      <c r="B4" s="72" t="str">
        <f>IF(virheet!I10&lt;1,"2. Valitse kalleusluokka:","Älä täytä")</f>
        <v>2. Valitse kalleusluokka:</v>
      </c>
      <c r="C4" s="172"/>
      <c r="D4" s="133"/>
      <c r="E4" s="106" t="s">
        <v>87</v>
      </c>
      <c r="F4" s="37"/>
      <c r="G4" s="38"/>
      <c r="H4" s="106" t="s">
        <v>89</v>
      </c>
      <c r="I4" s="37"/>
      <c r="J4" s="38"/>
      <c r="K4" s="267" t="str">
        <f>IF(virheet!I10&lt;1," 8. Valitse siihen oikeuttava aika:","Älä täytä")</f>
        <v> 8. Valitse siihen oikeuttava aika:</v>
      </c>
      <c r="L4" s="269"/>
      <c r="M4" s="268"/>
    </row>
    <row r="5" spans="1:13" ht="13.5" customHeight="1" thickBot="1">
      <c r="A5" s="29"/>
      <c r="B5" s="42"/>
      <c r="C5" s="33"/>
      <c r="D5" s="133"/>
      <c r="E5" s="107"/>
      <c r="F5" s="102" t="str">
        <f>IF(virheet!I10&lt;1,"4. Syötä palkka:","Älä täytä")</f>
        <v>4. Syötä palkka:</v>
      </c>
      <c r="G5" s="217"/>
      <c r="H5" s="42"/>
      <c r="I5" s="267" t="str">
        <f>IF(virheet!I10&lt;1,IF(VLOOKUP(virheet!$A$10,virheet!$A$12:$F$127,6,FALSE)=0,"Ei täytetä valitulle opettajalle. Siirry kohtaan 8.","5. Syötä huojentamaton opetusvelvollisuus:"),"Älä täytä")</f>
        <v>Ei täytetä valitulle opettajalle. Siirry kohtaan 8.</v>
      </c>
      <c r="J5" s="268"/>
      <c r="K5" s="33"/>
      <c r="L5" s="96"/>
      <c r="M5" s="38"/>
    </row>
    <row r="6" spans="1:13" ht="13.5" customHeight="1" thickBot="1">
      <c r="A6" s="29"/>
      <c r="B6" s="94"/>
      <c r="C6" s="105"/>
      <c r="D6" s="32"/>
      <c r="E6" s="42"/>
      <c r="F6" s="27"/>
      <c r="G6" s="177" t="s">
        <v>16</v>
      </c>
      <c r="H6" s="42"/>
      <c r="I6" s="269"/>
      <c r="J6" s="268"/>
      <c r="K6" s="96"/>
      <c r="L6" s="96"/>
      <c r="M6" s="38"/>
    </row>
    <row r="7" spans="1:13" ht="13.5" customHeight="1" thickBot="1">
      <c r="A7" s="29"/>
      <c r="B7" s="297" t="str">
        <f>IF(virheet!I10&lt;1,"Onko epäpätevyyden perusteella alennettu peruspalkka?","Älä täytä")</f>
        <v>Onko epäpätevyyden perusteella alennettu peruspalkka?</v>
      </c>
      <c r="C7" s="298"/>
      <c r="D7" s="299"/>
      <c r="E7" s="218"/>
      <c r="F7" s="101" t="str">
        <f>IF(COUNTA(F6)=0,"hyväksy 'Enterillä'","")</f>
        <v>hyväksy 'Enterillä'</v>
      </c>
      <c r="G7" s="38"/>
      <c r="H7" s="42"/>
      <c r="I7" s="269"/>
      <c r="J7" s="268"/>
      <c r="K7" s="40"/>
      <c r="L7" s="40"/>
      <c r="M7" s="38"/>
    </row>
    <row r="8" spans="1:24" ht="13.5" customHeight="1" thickBot="1">
      <c r="A8" s="29"/>
      <c r="B8" s="300"/>
      <c r="C8" s="301"/>
      <c r="D8" s="299"/>
      <c r="E8" s="292" t="str">
        <f>IF(virheet!I10&lt;1,IF(virheet!A2=1,virheet!B2," ")," ")</f>
        <v> </v>
      </c>
      <c r="F8" s="285"/>
      <c r="G8" s="293"/>
      <c r="H8" s="43">
        <v>2</v>
      </c>
      <c r="I8" s="28"/>
      <c r="J8" s="166" t="s">
        <v>105</v>
      </c>
      <c r="K8" s="108"/>
      <c r="L8" s="77"/>
      <c r="M8" s="38"/>
      <c r="W8" s="31"/>
      <c r="X8" s="31"/>
    </row>
    <row r="9" spans="1:13" ht="10.5" customHeight="1" thickBot="1">
      <c r="A9" s="29"/>
      <c r="B9" s="95"/>
      <c r="C9" s="132"/>
      <c r="D9" s="270" t="str">
        <f>IF(virheet!$G$10*'muut muuttujat'!$G$3=1,"Pakollinen valinta: Valitse 'On' !"," ")</f>
        <v> </v>
      </c>
      <c r="E9" s="294"/>
      <c r="F9" s="285"/>
      <c r="G9" s="293"/>
      <c r="H9" s="107"/>
      <c r="I9" s="101" t="str">
        <f>IF(virheet!F10=0," ",IF(COUNTA(I8)=0,"hyväksy 'Enterillä'",""))</f>
        <v> </v>
      </c>
      <c r="J9" s="38"/>
      <c r="K9" s="54"/>
      <c r="L9" s="58"/>
      <c r="M9" s="52"/>
    </row>
    <row r="10" spans="1:13" ht="14.25" customHeight="1">
      <c r="A10" s="29"/>
      <c r="B10" s="42"/>
      <c r="C10" s="33"/>
      <c r="D10" s="271"/>
      <c r="E10" s="294"/>
      <c r="F10" s="285"/>
      <c r="G10" s="293"/>
      <c r="H10" s="107"/>
      <c r="I10" s="39"/>
      <c r="J10" s="39"/>
      <c r="K10" s="73" t="s">
        <v>168</v>
      </c>
      <c r="L10" s="41"/>
      <c r="M10" s="44"/>
    </row>
    <row r="11" spans="1:13" ht="12.75" customHeight="1" thickBot="1">
      <c r="A11" s="29"/>
      <c r="B11" s="302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303"/>
      <c r="D11" s="304"/>
      <c r="E11" s="295"/>
      <c r="F11" s="288"/>
      <c r="G11" s="296"/>
      <c r="H11" s="78"/>
      <c r="I11" s="74"/>
      <c r="J11" s="74"/>
      <c r="K11" s="289" t="s">
        <v>173</v>
      </c>
      <c r="L11" s="290"/>
      <c r="M11" s="38"/>
    </row>
    <row r="12" spans="1:13" ht="13.5" customHeight="1" thickBot="1">
      <c r="A12" s="29"/>
      <c r="B12" s="302"/>
      <c r="C12" s="303"/>
      <c r="D12" s="305"/>
      <c r="E12" s="73" t="s">
        <v>156</v>
      </c>
      <c r="F12" s="199"/>
      <c r="G12" s="104"/>
      <c r="H12" s="104"/>
      <c r="I12" s="104"/>
      <c r="J12" s="56"/>
      <c r="K12" s="291"/>
      <c r="L12" s="290"/>
      <c r="M12" s="38"/>
    </row>
    <row r="13" spans="1:13" ht="14.25" customHeight="1" thickBot="1">
      <c r="A13" s="29"/>
      <c r="B13" s="27"/>
      <c r="C13" s="205">
        <f>IF(virheet!I10&lt;1,IF('muut muuttujat'!G3=2,"e/kk","")," ")</f>
      </c>
      <c r="D13" s="205"/>
      <c r="E13" s="206"/>
      <c r="F13" s="102" t="str">
        <f>IF(virheet!I10&lt;1,IF(VLOOKUP(virheet!$A$10,virheet!$A$12:$F$127,6,FALSE)=0,"Ei täytetä valitulle opettajalle. Siirry kohtaan 8.","6. Syötä vuosiviikkoylituntien määrä:"),"Älä täytä")</f>
        <v>Ei täytetä valitulle opettajalle. Siirry kohtaan 8.</v>
      </c>
      <c r="G13" s="103"/>
      <c r="H13" s="39"/>
      <c r="I13" s="39"/>
      <c r="J13" s="38"/>
      <c r="K13" s="27"/>
      <c r="L13" s="165" t="s">
        <v>16</v>
      </c>
      <c r="M13" s="32"/>
    </row>
    <row r="14" spans="1:13" ht="14.25" customHeight="1" thickBot="1">
      <c r="A14" s="29"/>
      <c r="B14" s="82">
        <f>IF(virheet!I10&lt;1,IF(virheet!A6&gt;0,"",IF('muut muuttujat'!G3=1,"",IF(COUNTA(B13)=0,"hyväksy 'Enterillä'","")))," ")</f>
      </c>
      <c r="C14" s="101"/>
      <c r="D14" s="33"/>
      <c r="E14" s="207"/>
      <c r="F14" s="103"/>
      <c r="G14" s="103"/>
      <c r="H14" s="39"/>
      <c r="I14" s="28"/>
      <c r="J14" s="166" t="s">
        <v>105</v>
      </c>
      <c r="K14" s="82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283">
        <f>IF(virheet!I10&lt;1,IF('muut muuttujat'!G3=2,IF(virheet!A3=1,virheet!B3,""),"")," ")</f>
      </c>
      <c r="C15" s="284"/>
      <c r="D15" s="285"/>
      <c r="E15" s="42"/>
      <c r="F15" s="102" t="str">
        <f>IF(virheet!I10&lt;1,IF(VLOOKUP(virheet!$A$10,virheet!$A$12:$F$127,6,FALSE)=0,"Ei täytetä valitulle opettajalle. Siirry kohtaan 8.","7. Syötä kertaylituntien määrä:"),"Älä täytä")</f>
        <v>Ei täytetä valitulle opettajalle. Siirry kohtaan 8.</v>
      </c>
      <c r="G15" s="103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283"/>
      <c r="C16" s="284"/>
      <c r="D16" s="285"/>
      <c r="E16" s="42"/>
      <c r="F16" s="33"/>
      <c r="G16" s="33"/>
      <c r="H16" s="33"/>
      <c r="I16" s="28"/>
      <c r="J16" s="166" t="s">
        <v>106</v>
      </c>
      <c r="K16" s="43"/>
      <c r="L16" s="33"/>
      <c r="M16" s="32"/>
    </row>
    <row r="17" spans="1:13" ht="9.75" customHeight="1" thickBot="1">
      <c r="A17" s="29"/>
      <c r="B17" s="286"/>
      <c r="C17" s="287"/>
      <c r="D17" s="288"/>
      <c r="E17" s="121"/>
      <c r="F17" s="122"/>
      <c r="G17" s="122"/>
      <c r="H17" s="122"/>
      <c r="I17" s="54" t="str">
        <f>IF(virheet!F10=0," ",IF(COUNTA(I16)=0,"hyväksy 'Enterillä'",""))</f>
        <v> </v>
      </c>
      <c r="J17" s="75"/>
      <c r="K17" s="198"/>
      <c r="L17" s="122"/>
      <c r="M17" s="123"/>
    </row>
    <row r="18" spans="1:13" ht="39" customHeight="1" thickBot="1">
      <c r="A18" s="29"/>
      <c r="B18" s="306" t="str">
        <f>VLOOKUP(laskenta!$A$4,laskenta!$A$6:$B$121,2,FALSE)</f>
        <v>40301101 Peruskoulu -  Vuosiluokkia 1–6 käsittävän koulun rehtori, 12–23 palkkaperusteryhmää</v>
      </c>
      <c r="C18" s="307"/>
      <c r="D18" s="307"/>
      <c r="E18" s="307"/>
      <c r="F18" s="307"/>
      <c r="G18" s="307"/>
      <c r="H18" s="307"/>
      <c r="I18" s="307"/>
      <c r="J18" s="229" t="str">
        <f>IF(virheet!I10&gt;0,"SYÖTÄ ALLA PYYDETYT TIEDOT:"," ")</f>
        <v> </v>
      </c>
      <c r="K18" s="230"/>
      <c r="L18" s="231"/>
      <c r="M18" s="237" t="str">
        <f>IF(virheet!$I$10=0,"Älä täytä:"," ")</f>
        <v>Älä täytä:</v>
      </c>
    </row>
    <row r="19" spans="1:13" ht="13.5" customHeight="1" thickBot="1">
      <c r="A19" s="29"/>
      <c r="B19" s="274" t="s">
        <v>146</v>
      </c>
      <c r="C19" s="275"/>
      <c r="D19" s="275"/>
      <c r="E19" s="275"/>
      <c r="F19" s="275"/>
      <c r="G19" s="111">
        <f>IF(virheet!I10&lt;1,IF('muut muuttujat'!A3=1,VLOOKUP(laskenta!A4,laskenta!$A$6:$J$121,5,FALSE),VLOOKUP(laskenta!A4,laskenta!$A$6:$P$121,6,FALSE))," ")</f>
        <v>4000.89</v>
      </c>
      <c r="H19" s="112"/>
      <c r="I19" s="47" t="s">
        <v>16</v>
      </c>
      <c r="J19" s="232">
        <f>IF(virheet!I10=1,"Ei valita ko. opettajalla",IF(virheet!I10=2,"1.  Määrävuosikorotukseen oikeuttava aika",""))</f>
      </c>
      <c r="K19" s="233"/>
      <c r="L19" s="234"/>
      <c r="M19" s="225"/>
    </row>
    <row r="20" spans="1:13" ht="13.5" customHeight="1" thickBot="1">
      <c r="A20" s="29"/>
      <c r="B20" s="113" t="s">
        <v>108</v>
      </c>
      <c r="C20" s="173"/>
      <c r="D20" s="114"/>
      <c r="E20" s="79"/>
      <c r="F20" s="79"/>
      <c r="G20" s="115">
        <f>IF(virheet!I10&lt;1,IF(F6=0,"",F6)," ")</f>
      </c>
      <c r="H20" s="116"/>
      <c r="I20" s="117" t="s">
        <v>16</v>
      </c>
      <c r="J20" s="235" t="str">
        <f>IF(virheet!I10=1,"Ei täytetä ko. opettajalle",IF(virheet!I10=2,"2. Syötä kelpoisuuden mukaan tuleva korotus-%:"," "))</f>
        <v> </v>
      </c>
      <c r="K20" s="233"/>
      <c r="L20" s="234"/>
      <c r="M20" s="220"/>
    </row>
    <row r="21" spans="1:13" ht="13.5" customHeight="1" thickBot="1">
      <c r="A21" s="29"/>
      <c r="B21" s="80" t="s">
        <v>107</v>
      </c>
      <c r="C21" s="70"/>
      <c r="D21" s="70"/>
      <c r="E21" s="65"/>
      <c r="F21" s="65"/>
      <c r="G21" s="71">
        <f>IF(virheet!I10&lt;1,IF(G19="epäpät %"," ",IF(G19=0," ",IF(G19="% rehtorista","",ROUND(VLOOKUP(laskenta!$A$4,laskenta!$A$6:$AC$121,23+'muut muuttujat'!J3,FALSE)*G19-G19,2))))," ")</f>
        <v>0</v>
      </c>
      <c r="H21" s="69"/>
      <c r="I21" s="118" t="s">
        <v>16</v>
      </c>
      <c r="J21" s="236" t="str">
        <f>IF(virheet!I10&gt;0,"3. Syötä tuntien määrä kuukaudessa:"," ")</f>
        <v> </v>
      </c>
      <c r="K21" s="233"/>
      <c r="L21" s="233"/>
      <c r="M21" s="221"/>
    </row>
    <row r="22" spans="1:13" ht="13.5" customHeight="1" thickBot="1">
      <c r="A22" s="29"/>
      <c r="B22" s="81" t="s">
        <v>145</v>
      </c>
      <c r="C22" s="35"/>
      <c r="D22" s="35"/>
      <c r="E22" s="35"/>
      <c r="F22" s="276" t="str">
        <f>IF(virheet!I10&lt;1,IF(L23=" "," ",IF(virheet!$F$10=0,"eivät mahdollisia",ROUND(I14*L23,2)))," ")</f>
        <v> </v>
      </c>
      <c r="G22" s="277"/>
      <c r="H22" s="69"/>
      <c r="I22" s="118" t="str">
        <f>IF(virheet!I10&lt;1,CONCATENATE("e/kk"," ","(",I14," ","kpl",")")," ")</f>
        <v>e/kk ( kpl)</v>
      </c>
      <c r="J22" s="188" t="s">
        <v>153</v>
      </c>
      <c r="K22" s="189"/>
      <c r="L22" s="209" t="str">
        <f>IF(virheet!I10&gt;0,VLOOKUP(laskenta!A4,laskenta!$A$6:$Q$121,17,FALSE)," ")</f>
        <v> </v>
      </c>
      <c r="M22" s="190" t="s">
        <v>113</v>
      </c>
    </row>
    <row r="23" spans="1:13" ht="12.75" customHeight="1">
      <c r="A23" s="29"/>
      <c r="B23" s="81" t="s">
        <v>176</v>
      </c>
      <c r="C23" s="35"/>
      <c r="D23" s="35"/>
      <c r="E23" s="35"/>
      <c r="F23" s="276" t="str">
        <f>IF(virheet!I10&lt;1,IF(L24=" "," ",IF(virheet!$F$10=0,"eivät mahdollisia",ROUND(I16*L24,2))),ROUND(KÄYTTÖTAULU!L22*KÄYTTÖTAULU!M21,2))</f>
        <v> </v>
      </c>
      <c r="G23" s="277"/>
      <c r="H23" s="69"/>
      <c r="I23" s="118" t="str">
        <f>CONCATENATE("e/kk"," ","(",IF(virheet!I10&lt;1,I16,KÄYTTÖTAULU!M21)," ","kpl",")")</f>
        <v>e/kk ( kpl)</v>
      </c>
      <c r="J23" s="210" t="s">
        <v>115</v>
      </c>
      <c r="K23" s="195"/>
      <c r="L23" s="196" t="str">
        <f>IF(virheet!I10=0,IF(I8*F6=0," ",IF(virheet!F10=0," ",IF('muut muuttujat'!A3=1,VLOOKUP(laskenta!A4,laskenta!$A$6:$P$121,11,FALSE),VLOOKUP(laskenta!A4,laskenta!$A$6:$P$121,12,FALSE))))," ")</f>
        <v> </v>
      </c>
      <c r="M23" s="197" t="s">
        <v>16</v>
      </c>
    </row>
    <row r="24" spans="1:13" ht="13.5" customHeight="1" thickBot="1">
      <c r="A24" s="29"/>
      <c r="B24" s="83" t="s">
        <v>175</v>
      </c>
      <c r="C24" s="66"/>
      <c r="D24" s="66"/>
      <c r="E24" s="65"/>
      <c r="F24" s="65"/>
      <c r="G24" s="71">
        <f>IF(COUNTA(K13)=0,"",K13)</f>
      </c>
      <c r="H24" s="65"/>
      <c r="I24" s="119" t="s">
        <v>16</v>
      </c>
      <c r="J24" s="211" t="s">
        <v>116</v>
      </c>
      <c r="K24" s="92"/>
      <c r="L24" s="194" t="str">
        <f>IF(virheet!I10=0,IF(I8*F6=0," ",IF(virheet!F10=0," ",IF('muut muuttujat'!A$3=1,VLOOKUP(laskenta!A$4,laskenta!$A$6:$P$121,13,FALSE),VLOOKUP(laskenta!A$4,laskenta!$A$6:$P$121,14,FALSE))))," ")</f>
        <v> </v>
      </c>
      <c r="M24" s="91" t="s">
        <v>113</v>
      </c>
    </row>
    <row r="25" spans="1:13" ht="12.75" customHeight="1" thickBot="1">
      <c r="A25" s="57"/>
      <c r="B25" s="68" t="s">
        <v>109</v>
      </c>
      <c r="C25" s="138"/>
      <c r="D25" s="67"/>
      <c r="E25" s="67"/>
      <c r="F25" s="67"/>
      <c r="G25" s="84" t="str">
        <f>IF(F6=0," ",SUM(F20:G24))</f>
        <v> </v>
      </c>
      <c r="H25" s="85"/>
      <c r="I25" s="120" t="s">
        <v>16</v>
      </c>
      <c r="J25" s="212" t="s">
        <v>114</v>
      </c>
      <c r="K25" s="204"/>
      <c r="L25" s="193" t="str">
        <f>IF(virheet!H10=0," ",IF(I8=0," ",IF(virheet!F10=0,"",IF('muut muuttujat'!A$3=1,VLOOKUP(laskenta!A$4,laskenta!$A$6:$P$121,15,FALSE),VLOOKUP(laskenta!A$4,laskenta!$A$6:$P$121,16,FALSE)))))</f>
        <v> </v>
      </c>
      <c r="M25" s="88" t="s">
        <v>113</v>
      </c>
    </row>
    <row r="26" spans="1:13" ht="16.5" customHeight="1" thickBot="1">
      <c r="A26" s="139"/>
      <c r="B26" s="200"/>
      <c r="C26" s="200"/>
      <c r="D26" s="201"/>
      <c r="E26" s="201"/>
      <c r="F26" s="201"/>
      <c r="G26" s="202"/>
      <c r="H26" s="203"/>
      <c r="I26" s="200"/>
      <c r="J26" s="140"/>
      <c r="K26" s="141"/>
      <c r="L26" s="142"/>
      <c r="M26" s="143"/>
    </row>
    <row r="27" spans="1:13" ht="13.5" customHeight="1" thickBot="1">
      <c r="A27" s="134" t="s">
        <v>333</v>
      </c>
      <c r="B27" s="135"/>
      <c r="C27" s="135"/>
      <c r="D27" s="135"/>
      <c r="E27" s="67"/>
      <c r="F27" s="67"/>
      <c r="G27" s="67"/>
      <c r="H27" s="67"/>
      <c r="I27" s="67"/>
      <c r="J27" s="67"/>
      <c r="K27" s="67"/>
      <c r="L27" s="67"/>
      <c r="M27" s="136"/>
    </row>
    <row r="28" spans="1:13" ht="13.5" customHeight="1">
      <c r="A28" s="180" t="s">
        <v>76</v>
      </c>
      <c r="B28" s="214" t="s">
        <v>154</v>
      </c>
      <c r="C28" s="168"/>
      <c r="D28" s="144"/>
      <c r="E28" s="278" t="s">
        <v>155</v>
      </c>
      <c r="F28" s="279"/>
      <c r="G28" s="280"/>
      <c r="H28" s="213" t="s">
        <v>165</v>
      </c>
      <c r="I28" s="109"/>
      <c r="J28" s="170"/>
      <c r="K28" s="170"/>
      <c r="L28" s="104"/>
      <c r="M28" s="56"/>
    </row>
    <row r="29" spans="1:13" ht="13.5" customHeight="1">
      <c r="A29" s="181"/>
      <c r="B29" s="172" t="s">
        <v>75</v>
      </c>
      <c r="C29" s="172"/>
      <c r="D29" s="133"/>
      <c r="E29" s="267" t="s">
        <v>221</v>
      </c>
      <c r="F29" s="269"/>
      <c r="G29" s="268"/>
      <c r="H29" s="163"/>
      <c r="I29" s="102" t="s">
        <v>357</v>
      </c>
      <c r="J29" s="103"/>
      <c r="K29" s="103"/>
      <c r="L29" s="93"/>
      <c r="M29" s="166" t="s">
        <v>106</v>
      </c>
    </row>
    <row r="30" spans="1:13" ht="12" customHeight="1">
      <c r="A30" s="181"/>
      <c r="B30" s="172"/>
      <c r="C30" s="172"/>
      <c r="D30" s="133"/>
      <c r="E30" s="125"/>
      <c r="F30" s="96"/>
      <c r="G30" s="186"/>
      <c r="H30" s="163"/>
      <c r="I30" s="102" t="s">
        <v>360</v>
      </c>
      <c r="J30" s="103"/>
      <c r="K30" s="103"/>
      <c r="L30" s="93"/>
      <c r="M30" s="166" t="s">
        <v>106</v>
      </c>
    </row>
    <row r="31" spans="1:13" ht="12.75">
      <c r="A31" s="181"/>
      <c r="B31" s="105"/>
      <c r="C31" s="105"/>
      <c r="D31" s="133"/>
      <c r="E31" s="33"/>
      <c r="F31" s="33"/>
      <c r="G31" s="32"/>
      <c r="H31" s="42"/>
      <c r="I31" s="281" t="s">
        <v>363</v>
      </c>
      <c r="J31" s="281"/>
      <c r="K31" s="282"/>
      <c r="L31" s="93"/>
      <c r="M31" s="166" t="s">
        <v>106</v>
      </c>
    </row>
    <row r="32" spans="1:13" ht="17.25" customHeight="1">
      <c r="A32" s="181"/>
      <c r="B32" s="105"/>
      <c r="C32" s="105"/>
      <c r="D32" s="133"/>
      <c r="E32" s="33"/>
      <c r="F32" s="33"/>
      <c r="G32" s="32"/>
      <c r="H32" s="264" t="str">
        <f>VLOOKUP('vuosityö ja aikk laskenta'!A4,'vuosityö ja aikk laskenta'!$A$5:$B$17,2,FALSE)</f>
        <v>41103003 Opinto-ohjaaja/ylempi korkeakoulututkinto ja ylempi ammattikorkeakoulututkinto</v>
      </c>
      <c r="I32" s="265"/>
      <c r="J32" s="265"/>
      <c r="K32" s="265"/>
      <c r="L32" s="265"/>
      <c r="M32" s="266"/>
    </row>
    <row r="33" spans="1:13" ht="13.5" customHeight="1" thickBot="1">
      <c r="A33" s="181"/>
      <c r="B33" s="33"/>
      <c r="C33" s="33"/>
      <c r="D33" s="133"/>
      <c r="E33" s="33"/>
      <c r="F33" s="33"/>
      <c r="G33" s="33"/>
      <c r="H33" s="264"/>
      <c r="I33" s="265"/>
      <c r="J33" s="265"/>
      <c r="K33" s="265"/>
      <c r="L33" s="265"/>
      <c r="M33" s="266"/>
    </row>
    <row r="34" spans="1:15" ht="13.5" customHeight="1" thickBot="1">
      <c r="A34" s="181"/>
      <c r="B34" s="174" t="s">
        <v>233</v>
      </c>
      <c r="C34" s="174"/>
      <c r="D34" s="133"/>
      <c r="E34" s="33"/>
      <c r="F34" s="33"/>
      <c r="G34" s="33"/>
      <c r="H34" s="178"/>
      <c r="I34" s="159" t="s">
        <v>346</v>
      </c>
      <c r="J34" s="160"/>
      <c r="K34" s="160"/>
      <c r="L34" s="111">
        <f>ROUND(VLOOKUP('vuosityö ja aikk laskenta'!$A$4,'vuosityö ja aikk laskenta'!$A$5:$N$14,IF('vuosityö ja aikk laskenta'!A19=1,2+'vuosityö ja aikk laskenta'!A24,8+'vuosityö ja aikk laskenta'!A24),FALSE)*(1-B35/100),2)</f>
        <v>3659.11</v>
      </c>
      <c r="M34" s="164" t="s">
        <v>16</v>
      </c>
      <c r="O34" s="223"/>
    </row>
    <row r="35" spans="1:13" ht="13.5" customHeight="1" thickBot="1">
      <c r="A35" s="181"/>
      <c r="B35" s="222"/>
      <c r="C35" s="176" t="s">
        <v>166</v>
      </c>
      <c r="D35" s="167"/>
      <c r="E35" s="33"/>
      <c r="F35" s="33"/>
      <c r="G35" s="33"/>
      <c r="H35" s="178"/>
      <c r="I35" s="161" t="s">
        <v>157</v>
      </c>
      <c r="J35" s="146"/>
      <c r="K35" s="147"/>
      <c r="L35" s="115" t="str">
        <f>IF(B39=0," ",B39)</f>
        <v> </v>
      </c>
      <c r="M35" s="148" t="s">
        <v>16</v>
      </c>
    </row>
    <row r="36" spans="2:13" ht="13.5" customHeight="1">
      <c r="B36" s="260" t="s">
        <v>359</v>
      </c>
      <c r="C36" s="261"/>
      <c r="D36" s="215" t="s">
        <v>222</v>
      </c>
      <c r="E36" s="104"/>
      <c r="F36" s="171"/>
      <c r="G36" s="56"/>
      <c r="H36" s="178"/>
      <c r="I36" s="162" t="s">
        <v>355</v>
      </c>
      <c r="J36" s="151"/>
      <c r="K36" s="151"/>
      <c r="L36" s="224" t="str">
        <f>IF(L29=0," ",ROUND(ROUND(($B$39+$F$38)/125,2)*L29,2))</f>
        <v> </v>
      </c>
      <c r="M36" s="118" t="s">
        <v>16</v>
      </c>
    </row>
    <row r="37" spans="1:13" ht="13.5" customHeight="1" thickBot="1">
      <c r="A37" s="181"/>
      <c r="B37" s="262"/>
      <c r="C37" s="263"/>
      <c r="D37" s="163" t="s">
        <v>171</v>
      </c>
      <c r="E37" s="102"/>
      <c r="F37" s="102"/>
      <c r="G37" s="32"/>
      <c r="H37" s="178"/>
      <c r="I37" s="162" t="s">
        <v>356</v>
      </c>
      <c r="J37" s="151"/>
      <c r="K37" s="151"/>
      <c r="L37" s="224" t="str">
        <f>IF(L30=0," ",ROUND(ROUND(ROUND(($B$39+$F$38)/125,2)*1.5,2)*L30,2))</f>
        <v> </v>
      </c>
      <c r="M37" s="118" t="s">
        <v>16</v>
      </c>
    </row>
    <row r="38" spans="1:13" ht="13.5" customHeight="1" thickBot="1">
      <c r="A38" s="181"/>
      <c r="B38" s="102" t="s">
        <v>167</v>
      </c>
      <c r="C38" s="102"/>
      <c r="D38" s="163" t="s">
        <v>172</v>
      </c>
      <c r="E38" s="102"/>
      <c r="F38" s="27"/>
      <c r="G38" s="177" t="s">
        <v>16</v>
      </c>
      <c r="H38" s="178"/>
      <c r="I38" s="162" t="s">
        <v>158</v>
      </c>
      <c r="J38" s="151"/>
      <c r="K38" s="151"/>
      <c r="L38" s="224" t="str">
        <f>IF(L31=0," ",ROUND(ROUND(ROUND(($B$39+$F$38)/125*0.5,2)*L31,2)*L30,2))</f>
        <v> </v>
      </c>
      <c r="M38" s="150" t="s">
        <v>16</v>
      </c>
    </row>
    <row r="39" spans="1:13" ht="13.5" customHeight="1" thickBot="1">
      <c r="A39" s="181"/>
      <c r="B39" s="27"/>
      <c r="C39" s="165" t="s">
        <v>16</v>
      </c>
      <c r="D39" s="163" t="s">
        <v>174</v>
      </c>
      <c r="E39" s="102"/>
      <c r="F39" s="102"/>
      <c r="G39" s="32"/>
      <c r="H39" s="178"/>
      <c r="I39" s="152" t="s">
        <v>223</v>
      </c>
      <c r="J39" s="153"/>
      <c r="K39" s="149"/>
      <c r="L39" s="187" t="str">
        <f>IF(F38+F40=0," ",F40+F38)</f>
        <v> </v>
      </c>
      <c r="M39" s="154" t="s">
        <v>16</v>
      </c>
    </row>
    <row r="40" spans="1:13" ht="13.5" customHeight="1" thickBot="1">
      <c r="A40" s="182"/>
      <c r="B40" s="272" t="str">
        <f>IF(B39=0," ",IF(B39&lt;L34,"Liian alhainen!"," "))</f>
        <v> </v>
      </c>
      <c r="C40" s="273"/>
      <c r="D40" s="184" t="s">
        <v>172</v>
      </c>
      <c r="E40" s="169"/>
      <c r="F40" s="27"/>
      <c r="G40" s="185" t="s">
        <v>16</v>
      </c>
      <c r="H40" s="179"/>
      <c r="I40" s="155" t="s">
        <v>109</v>
      </c>
      <c r="J40" s="156"/>
      <c r="K40" s="156"/>
      <c r="L40" s="157" t="str">
        <f>IF(B39=0," ",SUM(L35:L39))</f>
        <v> </v>
      </c>
      <c r="M40" s="158" t="s">
        <v>16</v>
      </c>
    </row>
    <row r="41" spans="1:13" ht="12.75" customHeigh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2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 s="31"/>
      <c r="X48" s="31"/>
    </row>
    <row r="49" spans="1:17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3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3" ht="13.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</sheetData>
  <sheetProtection sheet="1" selectLockedCells="1"/>
  <protectedRanges>
    <protectedRange password="CD44" sqref="I8 I48" name="sy?tt?3"/>
    <protectedRange password="CD64" sqref="F6 K8 K13 F46 K48 K53" name="sy?tt?2"/>
    <protectedRange password="CD04" sqref="B13 B53" name="sy?tt?1"/>
  </protectedRanges>
  <mergeCells count="19">
    <mergeCell ref="B15:D17"/>
    <mergeCell ref="K3:M3"/>
    <mergeCell ref="K4:M4"/>
    <mergeCell ref="K11:L12"/>
    <mergeCell ref="E8:G11"/>
    <mergeCell ref="F23:G23"/>
    <mergeCell ref="B7:D8"/>
    <mergeCell ref="B11:D12"/>
    <mergeCell ref="B18:I18"/>
    <mergeCell ref="B36:C37"/>
    <mergeCell ref="H32:M33"/>
    <mergeCell ref="I5:J7"/>
    <mergeCell ref="D9:D10"/>
    <mergeCell ref="B40:C40"/>
    <mergeCell ref="B19:F19"/>
    <mergeCell ref="F22:G22"/>
    <mergeCell ref="E28:G28"/>
    <mergeCell ref="E29:G29"/>
    <mergeCell ref="I31:K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N15"/>
  <sheetViews>
    <sheetView zoomScalePageLayoutView="0" workbookViewId="0" topLeftCell="A1">
      <selection activeCell="C157" sqref="C157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4" ht="14.2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82</v>
      </c>
      <c r="J3" s="3">
        <v>1</v>
      </c>
      <c r="K3" s="1" t="s">
        <v>97</v>
      </c>
      <c r="M3" s="3">
        <v>2</v>
      </c>
      <c r="N3" s="1" t="s">
        <v>508</v>
      </c>
    </row>
    <row r="4" spans="1:14" ht="13.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104</v>
      </c>
      <c r="M4" s="1">
        <v>1</v>
      </c>
      <c r="N4" s="1" t="s">
        <v>505</v>
      </c>
    </row>
    <row r="5" spans="1:14" ht="13.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74</v>
      </c>
      <c r="J5" s="1">
        <v>2</v>
      </c>
      <c r="K5" s="1" t="s">
        <v>98</v>
      </c>
      <c r="M5" s="1">
        <v>2</v>
      </c>
      <c r="N5" s="1" t="s">
        <v>506</v>
      </c>
    </row>
    <row r="6" spans="10:14" ht="13.5">
      <c r="J6" s="1">
        <v>3</v>
      </c>
      <c r="K6" s="1" t="s">
        <v>99</v>
      </c>
      <c r="M6" s="1">
        <v>3</v>
      </c>
      <c r="N6" s="1" t="s">
        <v>99</v>
      </c>
    </row>
    <row r="7" spans="7:11" ht="13.5">
      <c r="G7" s="1">
        <f>IF(KÄYTTÖTAULU!B13=0,0,1)</f>
        <v>0</v>
      </c>
      <c r="J7" s="1">
        <v>4</v>
      </c>
      <c r="K7" s="1" t="s">
        <v>100</v>
      </c>
    </row>
    <row r="8" spans="10:11" ht="13.5">
      <c r="J8" s="1">
        <v>5</v>
      </c>
      <c r="K8" s="1" t="s">
        <v>101</v>
      </c>
    </row>
    <row r="9" spans="10:11" ht="13.5">
      <c r="J9" s="1">
        <v>6</v>
      </c>
      <c r="K9" s="1" t="s">
        <v>102</v>
      </c>
    </row>
    <row r="11" ht="13.5">
      <c r="A11" s="1">
        <v>1</v>
      </c>
    </row>
    <row r="12" ht="13.5">
      <c r="B12" s="1" t="s">
        <v>505</v>
      </c>
    </row>
    <row r="13" ht="13.5">
      <c r="B13" s="1" t="s">
        <v>506</v>
      </c>
    </row>
    <row r="14" ht="13.5">
      <c r="B14" s="1" t="s">
        <v>98</v>
      </c>
    </row>
    <row r="15" ht="13.5">
      <c r="B15" s="1" t="s">
        <v>507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L226"/>
  <sheetViews>
    <sheetView zoomScalePageLayoutView="0" workbookViewId="0" topLeftCell="A1">
      <selection activeCell="C157" sqref="C157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3.5">
      <c r="A1" s="1" t="s">
        <v>81</v>
      </c>
      <c r="B1" s="3" t="s">
        <v>79</v>
      </c>
      <c r="C1" t="s">
        <v>110</v>
      </c>
    </row>
    <row r="2" spans="1:3" ht="13.5">
      <c r="A2" s="1">
        <f>IF(KÄYTTÖTAULU!F6=0,0,IF(KÄYTTÖTAULU!$F$6&lt;KÄYTTÖTAULU!$G$19,1,0))</f>
        <v>0</v>
      </c>
      <c r="B2" s="1" t="s">
        <v>78</v>
      </c>
      <c r="C2" t="str">
        <f>IF(A2=1,B2," ")</f>
        <v> </v>
      </c>
    </row>
    <row r="3" spans="1:3" ht="13.5">
      <c r="A3" s="1">
        <f>IF(A4=1,0,IF(KÄYTTÖTAULU!$B$13&gt;VLOOKUP(virheet!A10,laskenta!$A$6:$D$121,2+'muut muuttujat'!A3,FALSE),1,0))</f>
        <v>0</v>
      </c>
      <c r="B3" s="1" t="s">
        <v>150</v>
      </c>
      <c r="C3" t="str">
        <f>IF(A3=1,B3," ")</f>
        <v> </v>
      </c>
    </row>
    <row r="4" spans="1:3" ht="13.5">
      <c r="A4" s="1">
        <f>VLOOKUP(A10,$A$12:$E$126,5,FALSE)</f>
        <v>0</v>
      </c>
      <c r="B4" s="1" t="s">
        <v>151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83</v>
      </c>
      <c r="C5" t="str">
        <f>IF(A5=1,B5," ")</f>
        <v> </v>
      </c>
    </row>
    <row r="6" spans="1:2" ht="13.5">
      <c r="A6" s="1">
        <f>SUM(A2:A5)</f>
        <v>0</v>
      </c>
      <c r="B6" s="1" t="s">
        <v>84</v>
      </c>
    </row>
    <row r="7" spans="1:3" ht="15">
      <c r="A7" s="87">
        <f>IF(KÄYTTÖTAULU!F6&gt;0,0,1)+IF(KÄYTTÖTAULU!I8&gt;0,0,1)+IF(COUNTA(KÄYTTÖTAULU!I14),0,1)+IF(COUNTA(KÄYTTÖTAULU!I16)&gt;0,0,1)+IF(COUNTA(KÄYTTÖTAULU!K13)&gt;0,0,1)+A6</f>
        <v>5</v>
      </c>
      <c r="B7" s="86" t="s">
        <v>111</v>
      </c>
      <c r="C7" t="str">
        <f>IF(A7=0,B7," ")</f>
        <v> </v>
      </c>
    </row>
    <row r="8" ht="51" customHeight="1"/>
    <row r="9" ht="14.25" thickBot="1">
      <c r="A9" s="1" t="s">
        <v>5</v>
      </c>
    </row>
    <row r="10" spans="1:10" ht="14.25" thickBot="1">
      <c r="A10" s="23">
        <f>laskenta!A4</f>
        <v>1</v>
      </c>
      <c r="B10" s="8" t="s">
        <v>1</v>
      </c>
      <c r="F10">
        <f>VLOOKUP(A10,$A$12:$F$127,6,FALSE)</f>
        <v>0</v>
      </c>
      <c r="G10">
        <f>VLOOKUP(A10,$A$12:$G$127,7,FALSE)</f>
        <v>0</v>
      </c>
      <c r="H10">
        <f>VLOOKUP($A$10,$A$12:$H$127,8,FALSE)</f>
        <v>0</v>
      </c>
      <c r="I10">
        <f>VLOOKUP($A$10,$A$12:$I$127,9,FALSE)</f>
        <v>0</v>
      </c>
      <c r="J10">
        <f>VLOOKUP($A$10,$A$12:$J$127,10,FALSE)</f>
        <v>0</v>
      </c>
    </row>
    <row r="11" spans="2:10" ht="13.5">
      <c r="B11" s="3" t="s">
        <v>4</v>
      </c>
      <c r="C11" t="s">
        <v>80</v>
      </c>
      <c r="D11" t="s">
        <v>77</v>
      </c>
      <c r="E11" t="s">
        <v>81</v>
      </c>
      <c r="F11" t="s">
        <v>147</v>
      </c>
      <c r="G11" t="s">
        <v>148</v>
      </c>
      <c r="H11" t="s">
        <v>149</v>
      </c>
      <c r="I11" t="s">
        <v>218</v>
      </c>
      <c r="J11" t="s">
        <v>219</v>
      </c>
    </row>
    <row r="12" spans="1:12" ht="13.5">
      <c r="A12" s="1">
        <v>1</v>
      </c>
      <c r="B12" s="10" t="s">
        <v>117</v>
      </c>
      <c r="C12">
        <f>IF('muut muuttujat'!$G$3=2,1,0)</f>
        <v>0</v>
      </c>
      <c r="E12">
        <f aca="true" t="shared" si="0" ref="E12:E85">IF(C12+D12&gt;1,1,0)</f>
        <v>0</v>
      </c>
      <c r="F12" s="10"/>
      <c r="K12" s="1"/>
      <c r="L12" s="10"/>
    </row>
    <row r="13" spans="1:12" ht="13.5">
      <c r="A13" s="1">
        <v>2</v>
      </c>
      <c r="B13" s="10" t="s">
        <v>118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3.5">
      <c r="A14" s="1">
        <v>3</v>
      </c>
      <c r="B14" s="10" t="s">
        <v>353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3.5">
      <c r="A15" s="1">
        <v>4</v>
      </c>
      <c r="B15" s="10" t="s">
        <v>352</v>
      </c>
      <c r="C15">
        <v>0</v>
      </c>
      <c r="E15">
        <v>0</v>
      </c>
      <c r="F15" s="10"/>
      <c r="K15" s="1"/>
      <c r="L15" s="10"/>
    </row>
    <row r="16" spans="1:12" ht="13.5">
      <c r="A16" s="1">
        <v>5</v>
      </c>
      <c r="B16" s="10" t="s">
        <v>119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3.5">
      <c r="A17" s="1">
        <v>6</v>
      </c>
      <c r="B17" s="10" t="s">
        <v>120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3.5">
      <c r="A18" s="1">
        <v>7</v>
      </c>
      <c r="B18" s="10" t="s">
        <v>121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3.5">
      <c r="A19" s="1">
        <v>8</v>
      </c>
      <c r="B19" s="10" t="s">
        <v>354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3.5">
      <c r="A20" s="1">
        <v>9</v>
      </c>
      <c r="B20" s="10" t="s">
        <v>485</v>
      </c>
      <c r="C20">
        <v>0</v>
      </c>
      <c r="E20">
        <v>0</v>
      </c>
      <c r="F20" s="10"/>
      <c r="K20" s="1"/>
      <c r="L20" s="10"/>
    </row>
    <row r="21" spans="1:12" ht="13.5">
      <c r="A21" s="1">
        <v>10</v>
      </c>
      <c r="B21" s="10" t="s">
        <v>484</v>
      </c>
      <c r="C21">
        <v>0</v>
      </c>
      <c r="E21">
        <v>0</v>
      </c>
      <c r="F21" s="10"/>
      <c r="K21" s="1"/>
      <c r="L21" s="10"/>
    </row>
    <row r="22" spans="1:12" ht="13.5">
      <c r="A22" s="1">
        <v>11</v>
      </c>
      <c r="B22" s="10" t="s">
        <v>122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3.5">
      <c r="A23" s="1">
        <v>12</v>
      </c>
      <c r="B23" s="10" t="s">
        <v>123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3.5">
      <c r="A24" s="1">
        <v>13</v>
      </c>
      <c r="B24" s="10" t="s">
        <v>124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3.5">
      <c r="A25" s="1">
        <v>14</v>
      </c>
      <c r="B25" s="10" t="s">
        <v>125</v>
      </c>
      <c r="C25">
        <f>IF('muut muuttujat'!$G$3=2,1,0)</f>
        <v>0</v>
      </c>
      <c r="E25">
        <f t="shared" si="0"/>
        <v>0</v>
      </c>
      <c r="F25" s="10"/>
      <c r="K25" s="1"/>
      <c r="L25" s="10"/>
    </row>
    <row r="26" spans="1:12" ht="13.5">
      <c r="A26" s="1">
        <v>15</v>
      </c>
      <c r="B26" s="10" t="s">
        <v>126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3.5">
      <c r="A27" s="1">
        <v>16</v>
      </c>
      <c r="B27" s="10" t="s">
        <v>127</v>
      </c>
      <c r="C27">
        <f>IF('muut muuttujat'!$G$3=2,1,0)</f>
        <v>0</v>
      </c>
      <c r="E27">
        <f t="shared" si="0"/>
        <v>0</v>
      </c>
      <c r="F27" s="10"/>
      <c r="G27">
        <v>1</v>
      </c>
      <c r="K27" s="1"/>
      <c r="L27" s="10"/>
    </row>
    <row r="28" spans="1:12" ht="13.5">
      <c r="A28" s="1">
        <v>17</v>
      </c>
      <c r="B28" s="10" t="s">
        <v>128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3.5">
      <c r="A29" s="1">
        <v>18</v>
      </c>
      <c r="B29" s="10" t="s">
        <v>129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3.5">
      <c r="A30" s="1">
        <v>19</v>
      </c>
      <c r="B30" s="10" t="s">
        <v>130</v>
      </c>
      <c r="C30">
        <f>IF('muut muuttujat'!$G$3=2,1,0)</f>
        <v>0</v>
      </c>
      <c r="D30">
        <v>1</v>
      </c>
      <c r="E30">
        <f t="shared" si="0"/>
        <v>0</v>
      </c>
      <c r="F30" s="10"/>
      <c r="K30" s="1"/>
      <c r="L30" s="10"/>
    </row>
    <row r="31" spans="1:12" ht="13.5">
      <c r="A31" s="1">
        <v>20</v>
      </c>
      <c r="B31" s="10" t="s">
        <v>131</v>
      </c>
      <c r="C31">
        <f>IF('muut muuttujat'!$G$3=2,1,0)</f>
        <v>0</v>
      </c>
      <c r="E31">
        <f t="shared" si="0"/>
        <v>0</v>
      </c>
      <c r="F31" s="10"/>
      <c r="G31">
        <v>1</v>
      </c>
      <c r="K31" s="1"/>
      <c r="L31" s="10"/>
    </row>
    <row r="32" spans="1:12" ht="13.5">
      <c r="A32" s="1">
        <v>21</v>
      </c>
      <c r="B32" s="10" t="s">
        <v>488</v>
      </c>
      <c r="C32">
        <f>IF('muut muuttujat'!$G$3=2,1,0)</f>
        <v>0</v>
      </c>
      <c r="D32">
        <v>1</v>
      </c>
      <c r="E32">
        <f>IF(C32+D32&gt;1,1,0)</f>
        <v>0</v>
      </c>
      <c r="F32" s="10"/>
      <c r="K32" s="1"/>
      <c r="L32" s="10"/>
    </row>
    <row r="33" spans="1:12" ht="13.5">
      <c r="A33" s="1">
        <v>22</v>
      </c>
      <c r="B33" s="10" t="s">
        <v>489</v>
      </c>
      <c r="C33">
        <f>IF('muut muuttujat'!$G$3=2,1,0)</f>
        <v>0</v>
      </c>
      <c r="E33">
        <f>IF(C33+D33&gt;1,1,0)</f>
        <v>0</v>
      </c>
      <c r="F33" s="10"/>
      <c r="G33">
        <v>1</v>
      </c>
      <c r="K33" s="1"/>
      <c r="L33" s="10"/>
    </row>
    <row r="34" spans="1:12" ht="13.5">
      <c r="A34" s="1">
        <v>23</v>
      </c>
      <c r="B34" s="10" t="s">
        <v>486</v>
      </c>
      <c r="C34">
        <f>IF('muut muuttujat'!$G$3=2,1,0)</f>
        <v>0</v>
      </c>
      <c r="D34">
        <v>1</v>
      </c>
      <c r="E34">
        <f>IF(C34+D34&gt;1,1,0)</f>
        <v>0</v>
      </c>
      <c r="F34" s="10"/>
      <c r="K34" s="1"/>
      <c r="L34" s="10"/>
    </row>
    <row r="35" spans="1:12" ht="13.5">
      <c r="A35" s="1">
        <v>24</v>
      </c>
      <c r="B35" s="10" t="s">
        <v>487</v>
      </c>
      <c r="C35">
        <f>IF('muut muuttujat'!$G$3=2,1,0)</f>
        <v>0</v>
      </c>
      <c r="E35">
        <f>IF(C35+D35&gt;1,1,0)</f>
        <v>0</v>
      </c>
      <c r="F35" s="10"/>
      <c r="G35">
        <v>1</v>
      </c>
      <c r="K35" s="1"/>
      <c r="L35" s="10"/>
    </row>
    <row r="36" spans="1:12" ht="13.5">
      <c r="A36" s="1">
        <v>25</v>
      </c>
      <c r="B36" s="10" t="s">
        <v>457</v>
      </c>
      <c r="C36">
        <v>0</v>
      </c>
      <c r="D36">
        <v>1</v>
      </c>
      <c r="E36">
        <v>0</v>
      </c>
      <c r="F36" s="10"/>
      <c r="K36" s="1"/>
      <c r="L36" s="10"/>
    </row>
    <row r="37" spans="1:12" ht="13.5">
      <c r="A37" s="1">
        <v>26</v>
      </c>
      <c r="B37" s="10" t="s">
        <v>458</v>
      </c>
      <c r="C37">
        <v>0</v>
      </c>
      <c r="E37">
        <v>0</v>
      </c>
      <c r="F37" s="10"/>
      <c r="G37">
        <v>1</v>
      </c>
      <c r="K37" s="1"/>
      <c r="L37" s="10"/>
    </row>
    <row r="38" spans="1:12" ht="13.5">
      <c r="A38" s="1">
        <v>27</v>
      </c>
      <c r="B38" s="10" t="s">
        <v>490</v>
      </c>
      <c r="C38">
        <v>0</v>
      </c>
      <c r="D38">
        <v>1</v>
      </c>
      <c r="E38">
        <v>0</v>
      </c>
      <c r="F38" s="10"/>
      <c r="K38" s="1"/>
      <c r="L38" s="10"/>
    </row>
    <row r="39" spans="1:12" ht="13.5">
      <c r="A39" s="1">
        <v>28</v>
      </c>
      <c r="B39" s="10" t="s">
        <v>491</v>
      </c>
      <c r="C39">
        <v>0</v>
      </c>
      <c r="E39">
        <v>0</v>
      </c>
      <c r="F39" s="10"/>
      <c r="G39">
        <v>1</v>
      </c>
      <c r="K39" s="1"/>
      <c r="L39" s="10"/>
    </row>
    <row r="40" spans="1:12" ht="13.5">
      <c r="A40" s="1">
        <v>29</v>
      </c>
      <c r="B40" s="10" t="s">
        <v>17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3.5">
      <c r="A41" s="1">
        <v>30</v>
      </c>
      <c r="B41" s="10" t="s">
        <v>18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3.5">
      <c r="A42" s="1">
        <v>31</v>
      </c>
      <c r="B42" s="10" t="s">
        <v>19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3.5">
      <c r="A43" s="1">
        <v>32</v>
      </c>
      <c r="B43" s="10" t="s">
        <v>20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3.5">
      <c r="A44" s="1">
        <v>33</v>
      </c>
      <c r="B44" s="10" t="s">
        <v>21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3.5">
      <c r="A45" s="1">
        <v>34</v>
      </c>
      <c r="B45" s="10" t="s">
        <v>22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3.5">
      <c r="A46" s="1">
        <v>35</v>
      </c>
      <c r="B46" s="10" t="s">
        <v>24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3.5">
      <c r="A47" s="1">
        <v>36</v>
      </c>
      <c r="B47" s="10" t="s">
        <v>23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3.5">
      <c r="A48" s="1">
        <v>37</v>
      </c>
      <c r="B48" s="10" t="s">
        <v>25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3.5">
      <c r="A49" s="1">
        <v>38</v>
      </c>
      <c r="B49" s="10" t="s">
        <v>26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3.5">
      <c r="A50" s="1">
        <v>39</v>
      </c>
      <c r="B50" s="10" t="s">
        <v>27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3.5">
      <c r="A51" s="1">
        <v>40</v>
      </c>
      <c r="B51" s="10" t="s">
        <v>132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3.5">
      <c r="A52" s="1">
        <v>41</v>
      </c>
      <c r="B52" s="10" t="s">
        <v>31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3.5">
      <c r="A53" s="1">
        <v>42</v>
      </c>
      <c r="B53" s="10" t="s">
        <v>32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K53" s="1"/>
      <c r="L53" s="10"/>
    </row>
    <row r="54" spans="1:12" ht="13.5">
      <c r="A54" s="1">
        <v>43</v>
      </c>
      <c r="B54" s="10" t="s">
        <v>501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K54" s="1"/>
      <c r="L54" s="10"/>
    </row>
    <row r="55" spans="1:12" ht="13.5">
      <c r="A55" s="1">
        <v>44</v>
      </c>
      <c r="B55" s="10" t="s">
        <v>33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K55" s="1"/>
      <c r="L55" s="10"/>
    </row>
    <row r="56" spans="1:12" ht="13.5">
      <c r="A56" s="1">
        <v>45</v>
      </c>
      <c r="B56" s="10" t="s">
        <v>28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K56" s="1"/>
      <c r="L56" s="10"/>
    </row>
    <row r="57" spans="1:12" ht="13.5">
      <c r="A57" s="1">
        <v>46</v>
      </c>
      <c r="B57" s="10" t="s">
        <v>502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K57" s="1"/>
      <c r="L57" s="10"/>
    </row>
    <row r="58" spans="1:12" ht="13.5">
      <c r="A58" s="1">
        <v>47</v>
      </c>
      <c r="B58" s="10" t="s">
        <v>29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K58" s="1"/>
      <c r="L58" s="10"/>
    </row>
    <row r="59" spans="1:12" ht="13.5">
      <c r="A59" s="1">
        <v>48</v>
      </c>
      <c r="B59" s="10" t="s">
        <v>30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K59" s="1"/>
      <c r="L59" s="10"/>
    </row>
    <row r="60" spans="1:12" ht="13.5">
      <c r="A60" s="1">
        <v>49</v>
      </c>
      <c r="B60" s="10" t="s">
        <v>34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3.5">
      <c r="A61" s="1">
        <v>50</v>
      </c>
      <c r="B61" s="10" t="s">
        <v>35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3.5">
      <c r="A62" s="1">
        <v>51</v>
      </c>
      <c r="B62" s="10" t="s">
        <v>36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3.5">
      <c r="A63" s="1">
        <v>52</v>
      </c>
      <c r="B63" s="10" t="s">
        <v>37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3.5">
      <c r="A64" s="1">
        <v>53</v>
      </c>
      <c r="B64" s="10" t="s">
        <v>38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3.5">
      <c r="A65" s="1">
        <v>54</v>
      </c>
      <c r="B65" s="10" t="s">
        <v>39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3.5">
      <c r="A66" s="1">
        <v>55</v>
      </c>
      <c r="B66" s="10" t="s">
        <v>41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3.5">
      <c r="A67" s="1">
        <v>56</v>
      </c>
      <c r="B67" s="10" t="s">
        <v>40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3.5">
      <c r="A68" s="1">
        <v>57</v>
      </c>
      <c r="B68" s="10" t="s">
        <v>42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3.5">
      <c r="A69" s="1">
        <v>58</v>
      </c>
      <c r="B69" s="10" t="s">
        <v>43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3.5">
      <c r="A70" s="1">
        <v>59</v>
      </c>
      <c r="B70" s="10" t="s">
        <v>44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3.5">
      <c r="A71" s="1">
        <v>60</v>
      </c>
      <c r="B71" s="10" t="s">
        <v>85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3.5">
      <c r="A72" s="1">
        <v>61</v>
      </c>
      <c r="B72" s="10" t="s">
        <v>45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3.5">
      <c r="A73" s="1">
        <v>62</v>
      </c>
      <c r="B73" s="10" t="s">
        <v>46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H73">
        <v>1</v>
      </c>
      <c r="K73" s="1"/>
      <c r="L73" s="10"/>
    </row>
    <row r="74" spans="1:12" ht="13.5">
      <c r="A74" s="1">
        <v>63</v>
      </c>
      <c r="B74" s="10" t="s">
        <v>504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H74">
        <v>1</v>
      </c>
      <c r="K74" s="1"/>
      <c r="L74" s="10"/>
    </row>
    <row r="75" spans="1:12" ht="13.5">
      <c r="A75" s="1">
        <v>64</v>
      </c>
      <c r="B75" s="10" t="s">
        <v>47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H75">
        <v>1</v>
      </c>
      <c r="K75" s="1"/>
      <c r="L75" s="10"/>
    </row>
    <row r="76" spans="1:12" ht="13.5">
      <c r="A76" s="1">
        <v>65</v>
      </c>
      <c r="B76" s="10" t="s">
        <v>48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H76">
        <v>1</v>
      </c>
      <c r="K76" s="1"/>
      <c r="L76" s="10"/>
    </row>
    <row r="77" spans="1:12" ht="13.5">
      <c r="A77" s="1">
        <v>66</v>
      </c>
      <c r="B77" s="10" t="s">
        <v>503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H77">
        <v>1</v>
      </c>
      <c r="K77" s="1"/>
      <c r="L77" s="10"/>
    </row>
    <row r="78" spans="1:12" ht="13.5">
      <c r="A78" s="1">
        <v>67</v>
      </c>
      <c r="B78" s="10" t="s">
        <v>49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H78">
        <v>1</v>
      </c>
      <c r="K78" s="1"/>
      <c r="L78" s="10"/>
    </row>
    <row r="79" spans="1:12" ht="13.5">
      <c r="A79" s="1">
        <v>68</v>
      </c>
      <c r="B79" s="10" t="s">
        <v>50</v>
      </c>
      <c r="C79">
        <f>IF('muut muuttujat'!$G$3=2,1,0)</f>
        <v>0</v>
      </c>
      <c r="D79">
        <v>1</v>
      </c>
      <c r="E79">
        <f t="shared" si="0"/>
        <v>0</v>
      </c>
      <c r="F79" s="10">
        <v>1</v>
      </c>
      <c r="H79">
        <v>1</v>
      </c>
      <c r="K79" s="1"/>
      <c r="L79" s="10"/>
    </row>
    <row r="80" spans="1:12" ht="13.5">
      <c r="A80" s="1">
        <v>69</v>
      </c>
      <c r="B80" s="10" t="s">
        <v>51</v>
      </c>
      <c r="C80">
        <f>IF('muut muuttujat'!$G$3=2,1,0)</f>
        <v>0</v>
      </c>
      <c r="D80">
        <v>1</v>
      </c>
      <c r="E80">
        <f t="shared" si="0"/>
        <v>0</v>
      </c>
      <c r="F80" s="10">
        <v>1</v>
      </c>
      <c r="K80" s="1"/>
      <c r="L80" s="10"/>
    </row>
    <row r="81" spans="1:12" ht="13.5">
      <c r="A81" s="1">
        <v>70</v>
      </c>
      <c r="B81" s="10" t="s">
        <v>52</v>
      </c>
      <c r="C81">
        <f>IF('muut muuttujat'!$G$3=2,1,0)</f>
        <v>0</v>
      </c>
      <c r="D81">
        <v>1</v>
      </c>
      <c r="E81">
        <f t="shared" si="0"/>
        <v>0</v>
      </c>
      <c r="F81" s="10">
        <v>1</v>
      </c>
      <c r="K81" s="1"/>
      <c r="L81" s="10"/>
    </row>
    <row r="82" spans="1:12" ht="13.5">
      <c r="A82" s="1">
        <v>71</v>
      </c>
      <c r="B82" s="10" t="s">
        <v>53</v>
      </c>
      <c r="C82">
        <f>IF('muut muuttujat'!$G$3=2,1,0)</f>
        <v>0</v>
      </c>
      <c r="D82">
        <v>1</v>
      </c>
      <c r="E82">
        <f t="shared" si="0"/>
        <v>0</v>
      </c>
      <c r="F82" s="10">
        <v>1</v>
      </c>
      <c r="K82" s="1"/>
      <c r="L82" s="10"/>
    </row>
    <row r="83" spans="1:12" ht="13.5">
      <c r="A83" s="1">
        <v>72</v>
      </c>
      <c r="B83" s="10" t="s">
        <v>54</v>
      </c>
      <c r="C83">
        <f>IF('muut muuttujat'!$G$3=2,1,0)</f>
        <v>0</v>
      </c>
      <c r="D83">
        <v>1</v>
      </c>
      <c r="E83">
        <f t="shared" si="0"/>
        <v>0</v>
      </c>
      <c r="F83" s="10">
        <v>1</v>
      </c>
      <c r="K83" s="1"/>
      <c r="L83" s="10"/>
    </row>
    <row r="84" spans="1:12" ht="13.5">
      <c r="A84" s="1">
        <v>73</v>
      </c>
      <c r="B84" s="10" t="s">
        <v>152</v>
      </c>
      <c r="C84">
        <f>IF('muut muuttujat'!$G$3=2,1,0)</f>
        <v>0</v>
      </c>
      <c r="D84">
        <v>1</v>
      </c>
      <c r="E84">
        <f t="shared" si="0"/>
        <v>0</v>
      </c>
      <c r="F84" s="10">
        <v>1</v>
      </c>
      <c r="H84">
        <v>1</v>
      </c>
      <c r="K84" s="1"/>
      <c r="L84" s="10"/>
    </row>
    <row r="85" spans="1:12" ht="13.5">
      <c r="A85" s="1">
        <v>74</v>
      </c>
      <c r="B85" s="10" t="s">
        <v>59</v>
      </c>
      <c r="C85">
        <f>IF('muut muuttujat'!$G$3=2,1,0)</f>
        <v>0</v>
      </c>
      <c r="D85">
        <v>1</v>
      </c>
      <c r="E85">
        <f t="shared" si="0"/>
        <v>0</v>
      </c>
      <c r="F85" s="10">
        <v>1</v>
      </c>
      <c r="H85">
        <v>1</v>
      </c>
      <c r="K85" s="1"/>
      <c r="L85" s="10"/>
    </row>
    <row r="86" spans="1:12" ht="13.5">
      <c r="A86" s="1">
        <v>75</v>
      </c>
      <c r="B86" s="10" t="s">
        <v>61</v>
      </c>
      <c r="C86">
        <f>IF('muut muuttujat'!$G$3=2,1,0)</f>
        <v>0</v>
      </c>
      <c r="D86">
        <v>1</v>
      </c>
      <c r="E86">
        <f aca="true" t="shared" si="1" ref="E86:E98">IF(C86+D86&gt;1,1,0)</f>
        <v>0</v>
      </c>
      <c r="F86" s="10">
        <v>1</v>
      </c>
      <c r="H86">
        <v>1</v>
      </c>
      <c r="K86" s="1"/>
      <c r="L86" s="10"/>
    </row>
    <row r="87" spans="1:12" ht="13.5">
      <c r="A87" s="1">
        <v>76</v>
      </c>
      <c r="B87" s="10" t="s">
        <v>60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3.5">
      <c r="A88" s="1">
        <v>77</v>
      </c>
      <c r="B88" s="10" t="s">
        <v>55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K88" s="1"/>
      <c r="L88" s="10"/>
    </row>
    <row r="89" spans="1:12" ht="13.5">
      <c r="A89" s="1">
        <v>78</v>
      </c>
      <c r="B89" s="10" t="s">
        <v>56</v>
      </c>
      <c r="C89">
        <f>IF('muut muuttujat'!$G$3=2,1,0)</f>
        <v>0</v>
      </c>
      <c r="D89">
        <v>1</v>
      </c>
      <c r="E89">
        <f t="shared" si="1"/>
        <v>0</v>
      </c>
      <c r="F89" s="10">
        <v>1</v>
      </c>
      <c r="K89" s="1"/>
      <c r="L89" s="10"/>
    </row>
    <row r="90" spans="1:12" ht="13.5">
      <c r="A90" s="1">
        <v>79</v>
      </c>
      <c r="B90" s="10" t="s">
        <v>58</v>
      </c>
      <c r="C90">
        <f>IF('muut muuttujat'!$G$3=2,1,0)</f>
        <v>0</v>
      </c>
      <c r="D90">
        <v>1</v>
      </c>
      <c r="E90">
        <f t="shared" si="1"/>
        <v>0</v>
      </c>
      <c r="F90" s="10">
        <v>1</v>
      </c>
      <c r="K90" s="1"/>
      <c r="L90" s="10"/>
    </row>
    <row r="91" spans="1:12" ht="13.5">
      <c r="A91" s="1">
        <v>80</v>
      </c>
      <c r="B91" s="10" t="s">
        <v>57</v>
      </c>
      <c r="C91">
        <f>IF('muut muuttujat'!$G$3=2,1,0)</f>
        <v>0</v>
      </c>
      <c r="D91">
        <v>1</v>
      </c>
      <c r="E91">
        <f t="shared" si="1"/>
        <v>0</v>
      </c>
      <c r="F91" s="10">
        <v>1</v>
      </c>
      <c r="K91" s="1"/>
      <c r="L91" s="10"/>
    </row>
    <row r="92" spans="1:12" ht="13.5">
      <c r="A92" s="1">
        <v>81</v>
      </c>
      <c r="B92" s="10" t="s">
        <v>62</v>
      </c>
      <c r="C92">
        <f>IF('muut muuttujat'!$G$3=2,1,0)</f>
        <v>0</v>
      </c>
      <c r="D92">
        <v>1</v>
      </c>
      <c r="E92">
        <f t="shared" si="1"/>
        <v>0</v>
      </c>
      <c r="F92" s="10">
        <v>1</v>
      </c>
      <c r="H92">
        <v>1</v>
      </c>
      <c r="K92" s="1"/>
      <c r="L92" s="10"/>
    </row>
    <row r="93" spans="1:12" ht="13.5">
      <c r="A93" s="1">
        <v>82</v>
      </c>
      <c r="B93" s="10" t="s">
        <v>63</v>
      </c>
      <c r="C93">
        <f>IF('muut muuttujat'!$G$3=2,1,0)</f>
        <v>0</v>
      </c>
      <c r="D93">
        <v>1</v>
      </c>
      <c r="E93">
        <f t="shared" si="1"/>
        <v>0</v>
      </c>
      <c r="F93" s="10">
        <v>1</v>
      </c>
      <c r="H93">
        <v>1</v>
      </c>
      <c r="K93" s="1"/>
      <c r="L93" s="10"/>
    </row>
    <row r="94" spans="1:12" ht="13.5">
      <c r="A94" s="1">
        <v>83</v>
      </c>
      <c r="B94" s="10" t="s">
        <v>64</v>
      </c>
      <c r="C94">
        <f>IF('muut muuttujat'!$G$3=2,1,0)</f>
        <v>0</v>
      </c>
      <c r="D94">
        <v>1</v>
      </c>
      <c r="E94">
        <f t="shared" si="1"/>
        <v>0</v>
      </c>
      <c r="F94" s="10">
        <v>1</v>
      </c>
      <c r="H94">
        <v>1</v>
      </c>
      <c r="K94" s="1"/>
      <c r="L94" s="10"/>
    </row>
    <row r="95" spans="1:12" ht="13.5">
      <c r="A95" s="1">
        <v>84</v>
      </c>
      <c r="B95" s="10" t="s">
        <v>65</v>
      </c>
      <c r="C95">
        <f>IF('muut muuttujat'!$G$3=2,1,0)</f>
        <v>0</v>
      </c>
      <c r="D95">
        <v>1</v>
      </c>
      <c r="E95">
        <f t="shared" si="1"/>
        <v>0</v>
      </c>
      <c r="F95" s="10">
        <v>1</v>
      </c>
      <c r="H95">
        <v>1</v>
      </c>
      <c r="K95" s="1"/>
      <c r="L95" s="10"/>
    </row>
    <row r="96" spans="1:12" ht="13.5">
      <c r="A96" s="1">
        <v>85</v>
      </c>
      <c r="B96" s="10" t="s">
        <v>133</v>
      </c>
      <c r="C96">
        <f>IF('muut muuttujat'!$G$3=2,1,0)</f>
        <v>0</v>
      </c>
      <c r="E96">
        <f t="shared" si="1"/>
        <v>0</v>
      </c>
      <c r="F96" s="10"/>
      <c r="K96" s="1"/>
      <c r="L96" s="10"/>
    </row>
    <row r="97" spans="1:12" ht="13.5">
      <c r="A97" s="1">
        <v>86</v>
      </c>
      <c r="B97" s="10" t="s">
        <v>177</v>
      </c>
      <c r="C97">
        <f>IF('muut muuttujat'!$G$3=2,1,0)</f>
        <v>0</v>
      </c>
      <c r="E97">
        <f t="shared" si="1"/>
        <v>0</v>
      </c>
      <c r="F97" s="10"/>
      <c r="K97" s="1"/>
      <c r="L97" s="10"/>
    </row>
    <row r="98" spans="1:12" ht="13.5">
      <c r="A98" s="1">
        <v>87</v>
      </c>
      <c r="B98" s="10" t="s">
        <v>178</v>
      </c>
      <c r="C98">
        <f>IF('muut muuttujat'!$G$3=2,1,0)</f>
        <v>0</v>
      </c>
      <c r="E98">
        <f t="shared" si="1"/>
        <v>0</v>
      </c>
      <c r="F98" s="10"/>
      <c r="K98" s="1"/>
      <c r="L98" s="10"/>
    </row>
    <row r="99" spans="1:12" ht="13.5">
      <c r="A99" s="1">
        <v>88</v>
      </c>
      <c r="B99" s="10" t="s">
        <v>134</v>
      </c>
      <c r="C99">
        <f>IF('muut muuttujat'!$G$3=2,1,0)</f>
        <v>0</v>
      </c>
      <c r="E99">
        <f aca="true" t="shared" si="2" ref="E99:E107">IF(C99+D99&gt;1,1,0)</f>
        <v>0</v>
      </c>
      <c r="K99" s="1"/>
      <c r="L99" s="10"/>
    </row>
    <row r="100" spans="1:12" ht="13.5">
      <c r="A100" s="1">
        <v>89</v>
      </c>
      <c r="B100" s="10" t="s">
        <v>135</v>
      </c>
      <c r="C100">
        <f>IF('muut muuttujat'!$G$3=2,1,0)</f>
        <v>0</v>
      </c>
      <c r="E100">
        <f t="shared" si="2"/>
        <v>0</v>
      </c>
      <c r="K100" s="1"/>
      <c r="L100" s="10"/>
    </row>
    <row r="101" spans="1:12" ht="13.5">
      <c r="A101" s="1">
        <v>90</v>
      </c>
      <c r="B101" s="10" t="s">
        <v>67</v>
      </c>
      <c r="C101">
        <f>IF('muut muuttujat'!$G$3=2,1,0)</f>
        <v>0</v>
      </c>
      <c r="E101">
        <f t="shared" si="2"/>
        <v>0</v>
      </c>
      <c r="F101">
        <v>1</v>
      </c>
      <c r="K101" s="1"/>
      <c r="L101" s="10"/>
    </row>
    <row r="102" spans="1:12" ht="13.5">
      <c r="A102" s="1">
        <v>91</v>
      </c>
      <c r="B102" s="10" t="s">
        <v>69</v>
      </c>
      <c r="C102">
        <f>IF('muut muuttujat'!$G$3=2,1,0)</f>
        <v>0</v>
      </c>
      <c r="E102">
        <f t="shared" si="2"/>
        <v>0</v>
      </c>
      <c r="F102">
        <v>1</v>
      </c>
      <c r="K102" s="1"/>
      <c r="L102" s="10"/>
    </row>
    <row r="103" spans="1:12" ht="13.5">
      <c r="A103" s="1">
        <v>92</v>
      </c>
      <c r="B103" s="10" t="s">
        <v>68</v>
      </c>
      <c r="C103">
        <f>IF('muut muuttujat'!$G$3=2,1,0)</f>
        <v>0</v>
      </c>
      <c r="E103">
        <f t="shared" si="2"/>
        <v>0</v>
      </c>
      <c r="F103">
        <v>1</v>
      </c>
      <c r="K103" s="1"/>
      <c r="L103" s="10"/>
    </row>
    <row r="104" spans="1:12" ht="13.5">
      <c r="A104" s="1">
        <v>93</v>
      </c>
      <c r="B104" s="10" t="s">
        <v>66</v>
      </c>
      <c r="C104">
        <f>IF('muut muuttujat'!$G$3=2,1,0)</f>
        <v>0</v>
      </c>
      <c r="E104">
        <f t="shared" si="2"/>
        <v>0</v>
      </c>
      <c r="F104">
        <v>1</v>
      </c>
      <c r="K104" s="1"/>
      <c r="L104" s="10"/>
    </row>
    <row r="105" spans="1:12" ht="13.5">
      <c r="A105" s="1">
        <v>94</v>
      </c>
      <c r="B105" s="10" t="s">
        <v>136</v>
      </c>
      <c r="C105">
        <f>IF('muut muuttujat'!$G$3=2,1,0)</f>
        <v>0</v>
      </c>
      <c r="E105">
        <f t="shared" si="2"/>
        <v>0</v>
      </c>
      <c r="F105">
        <v>1</v>
      </c>
      <c r="H105">
        <v>1</v>
      </c>
      <c r="K105" s="1"/>
      <c r="L105" s="10"/>
    </row>
    <row r="106" spans="1:12" ht="13.5">
      <c r="A106" s="1">
        <v>95</v>
      </c>
      <c r="B106" s="10" t="s">
        <v>71</v>
      </c>
      <c r="C106">
        <f>IF('muut muuttujat'!$G$3=2,1,0)</f>
        <v>0</v>
      </c>
      <c r="E106">
        <f t="shared" si="2"/>
        <v>0</v>
      </c>
      <c r="F106">
        <v>1</v>
      </c>
      <c r="H106">
        <v>1</v>
      </c>
      <c r="K106" s="1"/>
      <c r="L106" s="10"/>
    </row>
    <row r="107" spans="1:12" ht="13.5">
      <c r="A107" s="1">
        <v>96</v>
      </c>
      <c r="B107" s="10" t="s">
        <v>70</v>
      </c>
      <c r="C107">
        <f>IF('muut muuttujat'!$G$3=2,1,0)</f>
        <v>0</v>
      </c>
      <c r="E107">
        <f t="shared" si="2"/>
        <v>0</v>
      </c>
      <c r="F107">
        <v>1</v>
      </c>
      <c r="H107">
        <v>1</v>
      </c>
      <c r="K107" s="1"/>
      <c r="L107" s="10"/>
    </row>
    <row r="108" spans="1:12" ht="13.5">
      <c r="A108" s="1">
        <v>97</v>
      </c>
      <c r="B108" s="10" t="s">
        <v>205</v>
      </c>
      <c r="I108">
        <v>1</v>
      </c>
      <c r="K108" s="1"/>
      <c r="L108" s="10"/>
    </row>
    <row r="109" spans="1:12" ht="13.5">
      <c r="A109" s="1">
        <v>98</v>
      </c>
      <c r="B109" s="10" t="s">
        <v>206</v>
      </c>
      <c r="I109">
        <v>1</v>
      </c>
      <c r="K109" s="1"/>
      <c r="L109" s="10"/>
    </row>
    <row r="110" spans="1:12" ht="13.5">
      <c r="A110" s="1">
        <v>99</v>
      </c>
      <c r="B110" s="10" t="s">
        <v>207</v>
      </c>
      <c r="I110">
        <v>1</v>
      </c>
      <c r="K110" s="1"/>
      <c r="L110" s="10"/>
    </row>
    <row r="111" spans="1:12" ht="13.5">
      <c r="A111" s="1">
        <v>100</v>
      </c>
      <c r="B111" s="10" t="s">
        <v>141</v>
      </c>
      <c r="C111">
        <f>IF('muut muuttujat'!$G$3=2,1,0)</f>
        <v>0</v>
      </c>
      <c r="E111">
        <f>IF(C111+D111&gt;1,1,0)</f>
        <v>0</v>
      </c>
      <c r="K111" s="1"/>
      <c r="L111" s="10"/>
    </row>
    <row r="112" spans="1:12" ht="13.5">
      <c r="A112" s="1">
        <v>101</v>
      </c>
      <c r="B112" s="10" t="s">
        <v>142</v>
      </c>
      <c r="C112">
        <f>IF('muut muuttujat'!$G$3=2,1,0)</f>
        <v>0</v>
      </c>
      <c r="E112">
        <f>IF(C112+D112&gt;1,1,0)</f>
        <v>0</v>
      </c>
      <c r="K112" s="1"/>
      <c r="L112" s="10"/>
    </row>
    <row r="113" spans="1:12" ht="13.5">
      <c r="A113" s="1">
        <v>102</v>
      </c>
      <c r="B113" s="10" t="s">
        <v>143</v>
      </c>
      <c r="C113">
        <f>IF('muut muuttujat'!$G$3=2,1,0)</f>
        <v>0</v>
      </c>
      <c r="E113">
        <f>IF(C113+D113&gt;1,1,0)</f>
        <v>0</v>
      </c>
      <c r="K113" s="1"/>
      <c r="L113" s="10"/>
    </row>
    <row r="114" spans="1:12" ht="13.5">
      <c r="A114" s="1">
        <v>103</v>
      </c>
      <c r="B114" s="10" t="s">
        <v>144</v>
      </c>
      <c r="C114">
        <f>IF('muut muuttujat'!$G$3=2,1,0)</f>
        <v>0</v>
      </c>
      <c r="E114">
        <f>IF(C114+D114&gt;1,1,0)</f>
        <v>0</v>
      </c>
      <c r="K114" s="1"/>
      <c r="L114" s="10"/>
    </row>
    <row r="115" spans="1:12" ht="13.5">
      <c r="A115" s="1">
        <v>104</v>
      </c>
      <c r="B115" s="1" t="s">
        <v>208</v>
      </c>
      <c r="I115">
        <v>1</v>
      </c>
      <c r="K115" s="1"/>
      <c r="L115" s="10"/>
    </row>
    <row r="116" spans="1:12" ht="13.5">
      <c r="A116" s="1">
        <v>105</v>
      </c>
      <c r="B116" s="10" t="s">
        <v>209</v>
      </c>
      <c r="C116">
        <f>IF('muut muuttujat'!$G$3=2,1,0)</f>
        <v>0</v>
      </c>
      <c r="E116">
        <f aca="true" t="shared" si="3" ref="E116:E121">IF(C116+D116&gt;1,1,0)</f>
        <v>0</v>
      </c>
      <c r="K116" s="1"/>
      <c r="L116" s="10"/>
    </row>
    <row r="117" spans="1:12" ht="13.5">
      <c r="A117" s="1">
        <v>106</v>
      </c>
      <c r="B117" s="10" t="s">
        <v>210</v>
      </c>
      <c r="C117">
        <f>IF('muut muuttujat'!$G$3=2,1,0)</f>
        <v>0</v>
      </c>
      <c r="E117">
        <f t="shared" si="3"/>
        <v>0</v>
      </c>
      <c r="K117" s="1"/>
      <c r="L117" s="10"/>
    </row>
    <row r="118" spans="1:12" ht="13.5">
      <c r="A118" s="1">
        <v>107</v>
      </c>
      <c r="B118" s="10" t="s">
        <v>211</v>
      </c>
      <c r="C118">
        <f>IF('muut muuttujat'!$G$3=2,1,0)</f>
        <v>0</v>
      </c>
      <c r="E118">
        <f t="shared" si="3"/>
        <v>0</v>
      </c>
      <c r="K118" s="1"/>
      <c r="L118" s="10"/>
    </row>
    <row r="119" spans="1:12" ht="13.5">
      <c r="A119" s="1">
        <v>108</v>
      </c>
      <c r="B119" s="10" t="s">
        <v>212</v>
      </c>
      <c r="C119">
        <f>IF('muut muuttujat'!$G$3=2,1,0)</f>
        <v>0</v>
      </c>
      <c r="E119">
        <f t="shared" si="3"/>
        <v>0</v>
      </c>
      <c r="K119" s="1"/>
      <c r="L119" s="10"/>
    </row>
    <row r="120" spans="1:12" ht="13.5">
      <c r="A120" s="1">
        <v>109</v>
      </c>
      <c r="B120" s="10" t="s">
        <v>213</v>
      </c>
      <c r="C120">
        <f>IF('muut muuttujat'!$G$3=2,1,0)</f>
        <v>0</v>
      </c>
      <c r="E120">
        <f t="shared" si="3"/>
        <v>0</v>
      </c>
      <c r="F120">
        <v>1</v>
      </c>
      <c r="K120" s="1"/>
      <c r="L120" s="10"/>
    </row>
    <row r="121" spans="1:12" ht="13.5">
      <c r="A121" s="1">
        <v>110</v>
      </c>
      <c r="B121" s="10" t="s">
        <v>214</v>
      </c>
      <c r="C121">
        <f>IF('muut muuttujat'!$G$3=2,1,0)</f>
        <v>0</v>
      </c>
      <c r="E121">
        <f t="shared" si="3"/>
        <v>0</v>
      </c>
      <c r="F121">
        <v>1</v>
      </c>
      <c r="K121" s="1"/>
      <c r="L121" s="10"/>
    </row>
    <row r="122" spans="1:12" ht="13.5">
      <c r="A122" s="1">
        <v>111</v>
      </c>
      <c r="B122" s="10" t="s">
        <v>215</v>
      </c>
      <c r="I122">
        <v>2</v>
      </c>
      <c r="K122" s="1"/>
      <c r="L122" s="10"/>
    </row>
    <row r="123" spans="1:12" ht="13.5">
      <c r="A123" s="1">
        <v>112</v>
      </c>
      <c r="B123" s="10" t="s">
        <v>137</v>
      </c>
      <c r="C123">
        <f>IF('muut muuttujat'!$G$3=2,1,0)</f>
        <v>0</v>
      </c>
      <c r="E123">
        <f aca="true" t="shared" si="4" ref="E123:E131">IF(C123+D123&gt;1,1,0)</f>
        <v>0</v>
      </c>
      <c r="K123" s="1"/>
      <c r="L123" s="10"/>
    </row>
    <row r="124" spans="1:12" ht="13.5">
      <c r="A124" s="1">
        <v>113</v>
      </c>
      <c r="B124" s="10" t="s">
        <v>138</v>
      </c>
      <c r="C124">
        <f>IF('muut muuttujat'!$G$3=2,1,0)</f>
        <v>0</v>
      </c>
      <c r="E124">
        <f t="shared" si="4"/>
        <v>0</v>
      </c>
      <c r="K124" s="1"/>
      <c r="L124" s="10"/>
    </row>
    <row r="125" spans="1:12" ht="13.5">
      <c r="A125" s="1">
        <v>114</v>
      </c>
      <c r="B125" s="10" t="s">
        <v>139</v>
      </c>
      <c r="C125">
        <f>IF('muut muuttujat'!$G$3=2,1,0)</f>
        <v>0</v>
      </c>
      <c r="E125">
        <f t="shared" si="4"/>
        <v>0</v>
      </c>
      <c r="K125" s="1"/>
      <c r="L125" s="10"/>
    </row>
    <row r="126" spans="1:12" ht="13.5">
      <c r="A126" s="1">
        <v>115</v>
      </c>
      <c r="B126" s="10" t="s">
        <v>140</v>
      </c>
      <c r="C126">
        <f>IF('muut muuttujat'!$G$3=2,1,0)</f>
        <v>0</v>
      </c>
      <c r="E126">
        <f t="shared" si="4"/>
        <v>0</v>
      </c>
      <c r="K126" s="1"/>
      <c r="L126" s="10"/>
    </row>
    <row r="127" spans="1:12" ht="13.5">
      <c r="A127" s="1">
        <v>116</v>
      </c>
      <c r="B127" s="1" t="s">
        <v>215</v>
      </c>
      <c r="C127">
        <f>IF('muut muuttujat'!$G$3=2,1,0)</f>
        <v>0</v>
      </c>
      <c r="E127">
        <f t="shared" si="4"/>
        <v>0</v>
      </c>
      <c r="I127">
        <v>2</v>
      </c>
      <c r="K127" s="1"/>
      <c r="L127" s="10"/>
    </row>
    <row r="128" spans="1:12" ht="13.5">
      <c r="A128" s="1">
        <v>117</v>
      </c>
      <c r="B128" s="1" t="s">
        <v>466</v>
      </c>
      <c r="C128">
        <f>IF('muut muuttujat'!$G$3=2,1,0)</f>
        <v>0</v>
      </c>
      <c r="E128">
        <f t="shared" si="4"/>
        <v>0</v>
      </c>
      <c r="K128" s="1"/>
      <c r="L128" s="10"/>
    </row>
    <row r="129" spans="1:12" ht="13.5">
      <c r="A129" s="1">
        <v>118</v>
      </c>
      <c r="B129" s="1" t="s">
        <v>467</v>
      </c>
      <c r="C129">
        <f>IF('muut muuttujat'!$G$3=2,1,0)</f>
        <v>0</v>
      </c>
      <c r="E129">
        <f t="shared" si="4"/>
        <v>0</v>
      </c>
      <c r="K129" s="1"/>
      <c r="L129" s="10"/>
    </row>
    <row r="130" spans="1:5" ht="13.5">
      <c r="A130" s="1">
        <v>119</v>
      </c>
      <c r="B130" s="1" t="s">
        <v>468</v>
      </c>
      <c r="C130">
        <f>IF('muut muuttujat'!$G$3=2,1,0)</f>
        <v>0</v>
      </c>
      <c r="E130">
        <f t="shared" si="4"/>
        <v>0</v>
      </c>
    </row>
    <row r="131" spans="1:5" ht="13.5">
      <c r="A131" s="1">
        <v>120</v>
      </c>
      <c r="B131" s="1" t="s">
        <v>469</v>
      </c>
      <c r="C131">
        <f>IF('muut muuttujat'!$G$3=2,1,0)</f>
        <v>0</v>
      </c>
      <c r="E131">
        <f t="shared" si="4"/>
        <v>0</v>
      </c>
    </row>
    <row r="148" ht="13.5">
      <c r="B148" s="15"/>
    </row>
    <row r="149" ht="13.5">
      <c r="B149" s="3"/>
    </row>
    <row r="151" ht="13.5">
      <c r="B151" s="16"/>
    </row>
    <row r="153" ht="13.5">
      <c r="B153" s="15"/>
    </row>
    <row r="160" ht="13.5">
      <c r="B160" s="12"/>
    </row>
    <row r="161" ht="13.5">
      <c r="B161" s="18"/>
    </row>
    <row r="163" ht="13.5">
      <c r="B163" s="16"/>
    </row>
    <row r="179" ht="13.5">
      <c r="B179" s="3"/>
    </row>
    <row r="183" ht="13.5">
      <c r="B183" s="3"/>
    </row>
    <row r="189" ht="13.5">
      <c r="B189" s="3"/>
    </row>
    <row r="195" ht="13.5">
      <c r="B195" s="3"/>
    </row>
    <row r="202" ht="13.5">
      <c r="B202" s="3"/>
    </row>
    <row r="206" ht="13.5">
      <c r="B206" s="3"/>
    </row>
    <row r="211" ht="13.5">
      <c r="B211" s="13"/>
    </row>
    <row r="212" ht="13.5">
      <c r="B212" s="13"/>
    </row>
    <row r="214" ht="13.5">
      <c r="B214" s="13"/>
    </row>
    <row r="215" ht="13.5">
      <c r="B215" s="13"/>
    </row>
    <row r="216" ht="13.5">
      <c r="B216" s="3"/>
    </row>
    <row r="222" ht="13.5">
      <c r="B222" s="3"/>
    </row>
    <row r="223" ht="13.5">
      <c r="B223" s="13"/>
    </row>
    <row r="226" ht="13.5">
      <c r="B226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AL219"/>
  <sheetViews>
    <sheetView zoomScale="90" zoomScaleNormal="90" zoomScalePageLayoutView="0" workbookViewId="0" topLeftCell="A1">
      <pane xSplit="2" ySplit="5" topLeftCell="C24" activePane="bottomRight" state="frozen"/>
      <selection pane="topLeft" activeCell="C157" sqref="C157"/>
      <selection pane="topRight" activeCell="C157" sqref="C157"/>
      <selection pane="bottomLeft" activeCell="C157" sqref="C157"/>
      <selection pane="bottomRight" activeCell="C157" sqref="C157"/>
    </sheetView>
  </sheetViews>
  <sheetFormatPr defaultColWidth="9.140625" defaultRowHeight="12.75"/>
  <cols>
    <col min="1" max="1" width="5.00390625" style="1" customWidth="1"/>
    <col min="2" max="2" width="67.28125" style="1" customWidth="1"/>
    <col min="3" max="3" width="10.42187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10" width="8.28125" style="2" customWidth="1"/>
    <col min="11" max="15" width="8.2812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7109375" style="1" bestFit="1" customWidth="1"/>
    <col min="32" max="16384" width="9.140625" style="1" customWidth="1"/>
  </cols>
  <sheetData>
    <row r="1" spans="2:11" ht="16.5">
      <c r="B1" s="4" t="s">
        <v>647</v>
      </c>
      <c r="C1" s="124" t="s">
        <v>648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5</v>
      </c>
      <c r="C3" s="7" t="s">
        <v>72</v>
      </c>
      <c r="D3" s="7" t="s">
        <v>72</v>
      </c>
      <c r="E3" s="9" t="s">
        <v>73</v>
      </c>
      <c r="F3" s="9" t="s">
        <v>73</v>
      </c>
      <c r="G3" s="1"/>
      <c r="I3" s="5"/>
      <c r="J3" s="5"/>
      <c r="K3" s="5"/>
    </row>
    <row r="4" spans="1:31" ht="13.5" thickBot="1">
      <c r="A4" s="23">
        <v>1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216</v>
      </c>
      <c r="R4" s="64" t="s">
        <v>90</v>
      </c>
      <c r="S4" s="64"/>
      <c r="T4" s="60"/>
      <c r="U4" s="60"/>
      <c r="V4" s="60"/>
      <c r="W4" s="63"/>
      <c r="X4" s="64" t="s">
        <v>103</v>
      </c>
      <c r="Y4" s="64"/>
      <c r="Z4" s="60"/>
      <c r="AA4" s="60"/>
      <c r="AB4" s="60"/>
      <c r="AC4" s="63"/>
      <c r="AE4" s="1" t="s">
        <v>90</v>
      </c>
    </row>
    <row r="5" spans="2:36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217</v>
      </c>
      <c r="R5" s="97" t="s">
        <v>96</v>
      </c>
      <c r="S5" s="98" t="s">
        <v>91</v>
      </c>
      <c r="T5" s="99" t="s">
        <v>92</v>
      </c>
      <c r="U5" s="99" t="s">
        <v>93</v>
      </c>
      <c r="V5" s="99" t="s">
        <v>94</v>
      </c>
      <c r="W5" s="100" t="s">
        <v>95</v>
      </c>
      <c r="X5" s="97" t="s">
        <v>96</v>
      </c>
      <c r="Y5" s="98" t="s">
        <v>91</v>
      </c>
      <c r="Z5" s="99" t="s">
        <v>92</v>
      </c>
      <c r="AA5" s="99" t="s">
        <v>93</v>
      </c>
      <c r="AB5" s="99" t="s">
        <v>94</v>
      </c>
      <c r="AC5" s="100" t="s">
        <v>95</v>
      </c>
      <c r="AE5" s="1" t="s">
        <v>96</v>
      </c>
      <c r="AF5" s="1" t="s">
        <v>91</v>
      </c>
      <c r="AG5" s="1" t="s">
        <v>92</v>
      </c>
      <c r="AH5" s="1" t="s">
        <v>93</v>
      </c>
      <c r="AI5" s="1" t="s">
        <v>94</v>
      </c>
      <c r="AJ5" s="1" t="s">
        <v>95</v>
      </c>
    </row>
    <row r="6" spans="1:38" ht="12.75">
      <c r="A6" s="1">
        <v>1</v>
      </c>
      <c r="B6" s="10" t="s">
        <v>234</v>
      </c>
      <c r="C6" s="191">
        <f>VLOOKUP(MID(B6,1,8)-0,'1.6.2023'!$B$9:$G$160,3,FALSE)</f>
        <v>4000.89</v>
      </c>
      <c r="D6" s="191">
        <f>VLOOKUP(MID(B6,1,8)-0,'1.6.2023'!$B$9:$G$160,5,FALSE)</f>
        <v>3962.63</v>
      </c>
      <c r="E6" s="11">
        <f>IF('muut muuttujat'!$G$3=1,C6,KÄYTTÖTAULU!$B$13)</f>
        <v>4000.89</v>
      </c>
      <c r="F6" s="11">
        <f>IF('muut muuttujat'!$G$3=1,D6,KÄYTTÖTAULU!$B$13)</f>
        <v>3962.63</v>
      </c>
      <c r="G6" s="11"/>
      <c r="H6" s="247"/>
      <c r="I6" s="11"/>
      <c r="J6" s="11"/>
      <c r="O6" s="11"/>
      <c r="P6" s="11"/>
      <c r="Q6" s="11"/>
      <c r="R6" s="59">
        <v>0</v>
      </c>
      <c r="S6" s="61">
        <v>0</v>
      </c>
      <c r="T6" s="61">
        <v>0</v>
      </c>
      <c r="U6" s="61">
        <v>5</v>
      </c>
      <c r="V6" s="61">
        <v>5</v>
      </c>
      <c r="W6" s="62">
        <v>10</v>
      </c>
      <c r="X6" s="61">
        <v>1</v>
      </c>
      <c r="Y6" s="61">
        <f>1+S6/100</f>
        <v>1</v>
      </c>
      <c r="Z6" s="61">
        <f>(1+T6/100)*Y6</f>
        <v>1</v>
      </c>
      <c r="AA6" s="61">
        <f>(1+U6/100)*Z6</f>
        <v>1.05</v>
      </c>
      <c r="AB6" s="61">
        <f>(1+V6/100)*AA6</f>
        <v>1.1025</v>
      </c>
      <c r="AC6" s="62">
        <f>(1+W6/100)*AB6</f>
        <v>1.2127500000000002</v>
      </c>
      <c r="AE6" s="1">
        <v>0</v>
      </c>
      <c r="AF6" s="1">
        <v>0</v>
      </c>
      <c r="AG6" s="1">
        <v>0</v>
      </c>
      <c r="AH6" s="1">
        <v>5</v>
      </c>
      <c r="AI6" s="1">
        <v>5</v>
      </c>
      <c r="AJ6" s="1">
        <v>10</v>
      </c>
      <c r="AL6" s="1">
        <f>AG6-T6</f>
        <v>0</v>
      </c>
    </row>
    <row r="7" spans="1:38" ht="12.75">
      <c r="A7" s="1">
        <v>2</v>
      </c>
      <c r="B7" s="10" t="s">
        <v>235</v>
      </c>
      <c r="C7" s="191">
        <f>VLOOKUP(MID(B7,1,8)-0,'1.6.2023'!$B$9:$G$160,3,FALSE)</f>
        <v>4132.86</v>
      </c>
      <c r="D7" s="191">
        <f>VLOOKUP(MID(B7,1,8)-0,'1.6.2023'!$B$9:$G$160,5,FALSE)</f>
        <v>4093.31</v>
      </c>
      <c r="E7" s="11">
        <f>IF('muut muuttujat'!$G$3=1,C7,KÄYTTÖTAULU!$B$13)</f>
        <v>4132.86</v>
      </c>
      <c r="F7" s="11">
        <f>IF('muut muuttujat'!$G$3=1,D7,KÄYTTÖTAULU!$B$13)</f>
        <v>4093.31</v>
      </c>
      <c r="G7" s="11"/>
      <c r="H7" s="247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49">
        <v>10</v>
      </c>
      <c r="X7" s="25">
        <v>1</v>
      </c>
      <c r="Y7" s="25">
        <f aca="true" t="shared" si="0" ref="Y7:Y80">1+S7/100</f>
        <v>1</v>
      </c>
      <c r="Z7" s="25">
        <f aca="true" t="shared" si="1" ref="Z7:Z80">(1+T7/100)*Y7</f>
        <v>1</v>
      </c>
      <c r="AA7" s="25">
        <f aca="true" t="shared" si="2" ref="AA7:AA80">(1+U7/100)*Z7</f>
        <v>1.05</v>
      </c>
      <c r="AB7" s="25">
        <f>(1+V7/100)*AA7</f>
        <v>1.1025</v>
      </c>
      <c r="AC7" s="49">
        <f>(1+W7/100)*AB7</f>
        <v>1.2127500000000002</v>
      </c>
      <c r="AE7" s="1">
        <v>0</v>
      </c>
      <c r="AF7" s="1">
        <v>0</v>
      </c>
      <c r="AG7" s="1">
        <v>0</v>
      </c>
      <c r="AH7" s="1">
        <v>5</v>
      </c>
      <c r="AI7" s="1">
        <v>5</v>
      </c>
      <c r="AJ7" s="1">
        <v>10</v>
      </c>
      <c r="AL7" s="1">
        <f aca="true" t="shared" si="3" ref="AL7:AL75">AG7-T7</f>
        <v>0</v>
      </c>
    </row>
    <row r="8" spans="1:38" ht="12.75">
      <c r="A8" s="1">
        <v>3</v>
      </c>
      <c r="B8" s="10" t="s">
        <v>350</v>
      </c>
      <c r="C8" s="191">
        <f>VLOOKUP(MID(B8,1,8)-0,'1.6.2023'!$B$9:$G$160,3,FALSE)</f>
        <v>4296.81</v>
      </c>
      <c r="D8" s="191">
        <f>VLOOKUP(MID(B8,1,8)-0,'1.6.2023'!$B$9:$G$160,5,FALSE)</f>
        <v>4255.66</v>
      </c>
      <c r="E8" s="11">
        <f>IF('muut muuttujat'!$G$3=1,C8,KÄYTTÖTAULU!$B$13)</f>
        <v>4296.81</v>
      </c>
      <c r="F8" s="11">
        <f>IF('muut muuttujat'!$G$3=1,D8,KÄYTTÖTAULU!$B$13)</f>
        <v>4255.66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49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49">
        <f aca="true" t="shared" si="4" ref="AC8:AC81">(1+W8/100)*AB8</f>
        <v>1.2127500000000002</v>
      </c>
      <c r="AE8" s="1">
        <v>0</v>
      </c>
      <c r="AF8" s="1">
        <v>0</v>
      </c>
      <c r="AG8" s="1">
        <v>0</v>
      </c>
      <c r="AH8" s="1">
        <v>5</v>
      </c>
      <c r="AI8" s="1">
        <v>5</v>
      </c>
      <c r="AJ8" s="1">
        <v>10</v>
      </c>
      <c r="AL8" s="1">
        <f t="shared" si="3"/>
        <v>0</v>
      </c>
    </row>
    <row r="9" spans="1:38" ht="12.75">
      <c r="A9" s="1">
        <v>4</v>
      </c>
      <c r="B9" s="10" t="s">
        <v>351</v>
      </c>
      <c r="C9" s="191">
        <f>VLOOKUP(MID(B9,1,8)-0,'1.6.2023'!$B$9:$G$160,3,FALSE)</f>
        <v>4479.44</v>
      </c>
      <c r="D9" s="191">
        <f>VLOOKUP(MID(B9,1,8)-0,'1.6.2023'!$B$9:$G$160,5,FALSE)</f>
        <v>4436.55</v>
      </c>
      <c r="E9" s="11">
        <f>IF('muut muuttujat'!$G$3=1,C9,KÄYTTÖTAULU!$B$13)</f>
        <v>4479.44</v>
      </c>
      <c r="F9" s="11">
        <f>IF('muut muuttujat'!$G$3=1,D9,KÄYTTÖTAULU!$B$13)</f>
        <v>4436.55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49">
        <v>10</v>
      </c>
      <c r="X9" s="25">
        <v>1</v>
      </c>
      <c r="Y9" s="25">
        <f aca="true" t="shared" si="5" ref="Y9:Y16">1+S9/100</f>
        <v>1</v>
      </c>
      <c r="Z9" s="25">
        <f aca="true" t="shared" si="6" ref="Z9:Z16">(1+T9/100)*Y9</f>
        <v>1</v>
      </c>
      <c r="AA9" s="25">
        <f aca="true" t="shared" si="7" ref="AA9:AA16">(1+U9/100)*Z9</f>
        <v>1.05</v>
      </c>
      <c r="AB9" s="25">
        <f aca="true" t="shared" si="8" ref="AB9:AB16">(1+V9/100)*AA9</f>
        <v>1.1025</v>
      </c>
      <c r="AC9" s="49">
        <f aca="true" t="shared" si="9" ref="AC9:AC16">(1+W9/100)*AB9</f>
        <v>1.2127500000000002</v>
      </c>
      <c r="AE9" s="1">
        <v>0</v>
      </c>
      <c r="AF9" s="1">
        <v>0</v>
      </c>
      <c r="AG9" s="1">
        <v>0</v>
      </c>
      <c r="AH9" s="1">
        <v>5</v>
      </c>
      <c r="AI9" s="1">
        <v>5</v>
      </c>
      <c r="AJ9" s="1">
        <v>10</v>
      </c>
      <c r="AL9" s="1">
        <f t="shared" si="3"/>
        <v>0</v>
      </c>
    </row>
    <row r="10" spans="1:38" ht="12.75">
      <c r="A10" s="1">
        <v>5</v>
      </c>
      <c r="B10" s="10" t="s">
        <v>236</v>
      </c>
      <c r="C10" s="191">
        <f>VLOOKUP(MID(B10,1,8)-0,'1.6.2023'!$B$9:$G$160,3,FALSE)</f>
        <v>4132.86</v>
      </c>
      <c r="D10" s="191">
        <f>VLOOKUP(MID(B10,1,8)-0,'1.6.2023'!$B$9:$G$160,5,FALSE)</f>
        <v>4093.31</v>
      </c>
      <c r="E10" s="11">
        <f>IF('muut muuttujat'!$G$3=1,C10,KÄYTTÖTAULU!$B$13)</f>
        <v>4132.86</v>
      </c>
      <c r="F10" s="11">
        <f>IF('muut muuttujat'!$G$3=1,D10,KÄYTTÖTAULU!$B$13)</f>
        <v>4093.31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49">
        <v>10</v>
      </c>
      <c r="X10" s="25">
        <v>1</v>
      </c>
      <c r="Y10" s="25">
        <f t="shared" si="5"/>
        <v>1</v>
      </c>
      <c r="Z10" s="25">
        <f t="shared" si="6"/>
        <v>1</v>
      </c>
      <c r="AA10" s="25">
        <f t="shared" si="7"/>
        <v>1.05</v>
      </c>
      <c r="AB10" s="25">
        <f t="shared" si="8"/>
        <v>1.1025</v>
      </c>
      <c r="AC10" s="49">
        <f t="shared" si="9"/>
        <v>1.2127500000000002</v>
      </c>
      <c r="AE10" s="1">
        <v>0</v>
      </c>
      <c r="AF10" s="1">
        <v>0</v>
      </c>
      <c r="AG10" s="1">
        <v>0</v>
      </c>
      <c r="AH10" s="1">
        <v>5</v>
      </c>
      <c r="AI10" s="1">
        <v>5</v>
      </c>
      <c r="AJ10" s="1">
        <v>10</v>
      </c>
      <c r="AL10" s="1">
        <f t="shared" si="3"/>
        <v>0</v>
      </c>
    </row>
    <row r="11" spans="1:38" ht="12.75">
      <c r="A11" s="1">
        <v>6</v>
      </c>
      <c r="B11" s="10" t="s">
        <v>237</v>
      </c>
      <c r="C11" s="191">
        <f>VLOOKUP(MID(B11,1,8)-0,'1.6.2023'!$B$9:$G$160,3,FALSE)</f>
        <v>4469.88</v>
      </c>
      <c r="D11" s="191">
        <f>VLOOKUP(MID(B11,1,8)-0,'1.6.2023'!$B$9:$G$160,5,FALSE)</f>
        <v>4427.11</v>
      </c>
      <c r="E11" s="11">
        <f>IF('muut muuttujat'!$G$3=1,C11,KÄYTTÖTAULU!$B$13)</f>
        <v>4469.88</v>
      </c>
      <c r="F11" s="11">
        <f>IF('muut muuttujat'!$G$3=1,D11,KÄYTTÖTAULU!$B$13)</f>
        <v>4427.11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49">
        <v>10</v>
      </c>
      <c r="X11" s="25">
        <v>1</v>
      </c>
      <c r="Y11" s="25">
        <f t="shared" si="5"/>
        <v>1</v>
      </c>
      <c r="Z11" s="25">
        <f t="shared" si="6"/>
        <v>1</v>
      </c>
      <c r="AA11" s="25">
        <f t="shared" si="7"/>
        <v>1.05</v>
      </c>
      <c r="AB11" s="25">
        <f t="shared" si="8"/>
        <v>1.1025</v>
      </c>
      <c r="AC11" s="49">
        <f t="shared" si="9"/>
        <v>1.2127500000000002</v>
      </c>
      <c r="AE11" s="1">
        <v>0</v>
      </c>
      <c r="AF11" s="1">
        <v>0</v>
      </c>
      <c r="AG11" s="1">
        <v>0</v>
      </c>
      <c r="AH11" s="1">
        <v>5</v>
      </c>
      <c r="AI11" s="1">
        <v>5</v>
      </c>
      <c r="AJ11" s="1">
        <v>10</v>
      </c>
      <c r="AL11" s="1">
        <f t="shared" si="3"/>
        <v>0</v>
      </c>
    </row>
    <row r="12" spans="1:38" ht="12.75">
      <c r="A12" s="1">
        <v>7</v>
      </c>
      <c r="B12" s="10" t="s">
        <v>238</v>
      </c>
      <c r="C12" s="191">
        <f>VLOOKUP(MID(B12,1,8)-0,'1.6.2023'!$B$9:$G$160,3,FALSE)</f>
        <v>4664.23</v>
      </c>
      <c r="D12" s="191">
        <f>VLOOKUP(MID(B12,1,8)-0,'1.6.2023'!$B$9:$G$160,5,FALSE)</f>
        <v>4619.64</v>
      </c>
      <c r="E12" s="11">
        <f>IF('muut muuttujat'!$G$3=1,C12,KÄYTTÖTAULU!$B$13)</f>
        <v>4664.23</v>
      </c>
      <c r="F12" s="11">
        <f>IF('muut muuttujat'!$G$3=1,D12,KÄYTTÖTAULU!$B$13)</f>
        <v>4619.64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49">
        <v>10</v>
      </c>
      <c r="X12" s="25">
        <v>1</v>
      </c>
      <c r="Y12" s="25">
        <f t="shared" si="5"/>
        <v>1</v>
      </c>
      <c r="Z12" s="25">
        <f t="shared" si="6"/>
        <v>1</v>
      </c>
      <c r="AA12" s="25">
        <f t="shared" si="7"/>
        <v>1.05</v>
      </c>
      <c r="AB12" s="25">
        <f t="shared" si="8"/>
        <v>1.1025</v>
      </c>
      <c r="AC12" s="49">
        <f t="shared" si="9"/>
        <v>1.2127500000000002</v>
      </c>
      <c r="AE12" s="1">
        <v>0</v>
      </c>
      <c r="AF12" s="1">
        <v>0</v>
      </c>
      <c r="AG12" s="1">
        <v>0</v>
      </c>
      <c r="AH12" s="1">
        <v>5</v>
      </c>
      <c r="AI12" s="1">
        <v>5</v>
      </c>
      <c r="AJ12" s="1">
        <v>10</v>
      </c>
      <c r="AL12" s="1">
        <f t="shared" si="3"/>
        <v>0</v>
      </c>
    </row>
    <row r="13" spans="1:38" ht="12.75">
      <c r="A13" s="1">
        <v>8</v>
      </c>
      <c r="B13" s="10" t="s">
        <v>358</v>
      </c>
      <c r="C13" s="191">
        <f>VLOOKUP(MID(B13,1,8)-0,'1.6.2023'!$B$9:$G$160,3,FALSE)</f>
        <v>4862.63</v>
      </c>
      <c r="D13" s="191">
        <f>VLOOKUP(MID(B13,1,8)-0,'1.6.2023'!$B$9:$G$160,5,FALSE)</f>
        <v>4816.08</v>
      </c>
      <c r="E13" s="11">
        <f>IF('muut muuttujat'!$G$3=1,C13,KÄYTTÖTAULU!$B$13)</f>
        <v>4862.63</v>
      </c>
      <c r="F13" s="11">
        <f>IF('muut muuttujat'!$G$3=1,D13,KÄYTTÖTAULU!$B$13)</f>
        <v>4816.08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49">
        <v>10</v>
      </c>
      <c r="X13" s="25">
        <v>1</v>
      </c>
      <c r="Y13" s="25">
        <f t="shared" si="5"/>
        <v>1</v>
      </c>
      <c r="Z13" s="25">
        <f t="shared" si="6"/>
        <v>1</v>
      </c>
      <c r="AA13" s="25">
        <f t="shared" si="7"/>
        <v>1.05</v>
      </c>
      <c r="AB13" s="25">
        <f t="shared" si="8"/>
        <v>1.1025</v>
      </c>
      <c r="AC13" s="49">
        <f t="shared" si="9"/>
        <v>1.2127500000000002</v>
      </c>
      <c r="AE13" s="1">
        <v>0</v>
      </c>
      <c r="AF13" s="1">
        <v>0</v>
      </c>
      <c r="AG13" s="1">
        <v>0</v>
      </c>
      <c r="AH13" s="1">
        <v>5</v>
      </c>
      <c r="AI13" s="1">
        <v>5</v>
      </c>
      <c r="AJ13" s="1">
        <v>10</v>
      </c>
      <c r="AL13" s="1">
        <f t="shared" si="3"/>
        <v>0</v>
      </c>
    </row>
    <row r="14" spans="1:38" ht="12.75">
      <c r="A14" s="1">
        <v>9</v>
      </c>
      <c r="B14" s="10" t="s">
        <v>496</v>
      </c>
      <c r="C14" s="191">
        <f>VLOOKUP(MID(B14,1,8)-0,'1.6.2023'!$B$9:$G$160,3,FALSE)</f>
        <v>5069.31</v>
      </c>
      <c r="D14" s="191">
        <f>VLOOKUP(MID(B14,1,8)-0,'1.6.2023'!$B$9:$G$160,5,FALSE)</f>
        <v>5020.79</v>
      </c>
      <c r="E14" s="11">
        <f>IF('muut muuttujat'!$G$3=1,C14,KÄYTTÖTAULU!$B$13)</f>
        <v>5069.31</v>
      </c>
      <c r="F14" s="11">
        <f>IF('muut muuttujat'!$G$3=1,D14,KÄYTTÖTAULU!$B$13)</f>
        <v>5020.79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49">
        <v>10</v>
      </c>
      <c r="X14" s="25">
        <v>1</v>
      </c>
      <c r="Y14" s="25">
        <f t="shared" si="5"/>
        <v>1</v>
      </c>
      <c r="Z14" s="25">
        <f t="shared" si="6"/>
        <v>1</v>
      </c>
      <c r="AA14" s="25">
        <f t="shared" si="7"/>
        <v>1.05</v>
      </c>
      <c r="AB14" s="25">
        <f t="shared" si="8"/>
        <v>1.1025</v>
      </c>
      <c r="AC14" s="49">
        <f t="shared" si="9"/>
        <v>1.2127500000000002</v>
      </c>
      <c r="AE14" s="1">
        <v>0</v>
      </c>
      <c r="AF14" s="1">
        <v>0</v>
      </c>
      <c r="AG14" s="1">
        <v>0</v>
      </c>
      <c r="AH14" s="1">
        <v>5</v>
      </c>
      <c r="AI14" s="1">
        <v>5</v>
      </c>
      <c r="AJ14" s="1">
        <v>10</v>
      </c>
      <c r="AL14" s="1">
        <f t="shared" si="3"/>
        <v>0</v>
      </c>
    </row>
    <row r="15" spans="1:29" ht="12.75">
      <c r="A15" s="1">
        <v>10</v>
      </c>
      <c r="B15" s="10" t="s">
        <v>475</v>
      </c>
      <c r="C15" s="191">
        <f>VLOOKUP(MID(B15,1,8)-0,'1.6.2023'!$B$9:$G$160,3,FALSE)</f>
        <v>5313.45</v>
      </c>
      <c r="D15" s="191">
        <f>VLOOKUP(MID(B15,1,8)-0,'1.6.2023'!$B$9:$G$160,5,FALSE)</f>
        <v>5262.59</v>
      </c>
      <c r="E15" s="11">
        <f>IF('muut muuttujat'!$G$3=1,C15,KÄYTTÖTAULU!$B$13)</f>
        <v>5313.45</v>
      </c>
      <c r="F15" s="11">
        <f>IF('muut muuttujat'!$G$3=1,D15,KÄYTTÖTAULU!$B$13)</f>
        <v>5262.59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49">
        <v>10</v>
      </c>
      <c r="X15" s="25">
        <v>1</v>
      </c>
      <c r="Y15" s="25">
        <f>1+S15/100</f>
        <v>1</v>
      </c>
      <c r="Z15" s="25">
        <f>(1+T15/100)*Y15</f>
        <v>1</v>
      </c>
      <c r="AA15" s="25">
        <f>(1+U15/100)*Z15</f>
        <v>1.05</v>
      </c>
      <c r="AB15" s="25">
        <f>(1+V15/100)*AA15</f>
        <v>1.1025</v>
      </c>
      <c r="AC15" s="49">
        <f>(1+W15/100)*AB15</f>
        <v>1.2127500000000002</v>
      </c>
    </row>
    <row r="16" spans="1:38" ht="12.75">
      <c r="A16" s="1">
        <v>11</v>
      </c>
      <c r="B16" s="10" t="s">
        <v>239</v>
      </c>
      <c r="C16" s="191">
        <f>VLOOKUP(MID(B16,1,8)-0,'1.6.2023'!$B$9:$G$160,3,FALSE)</f>
        <v>4132.86</v>
      </c>
      <c r="D16" s="191">
        <f>VLOOKUP(MID(B16,1,8)-0,'1.6.2023'!$B$9:$G$160,5,FALSE)</f>
        <v>4093.31</v>
      </c>
      <c r="E16" s="11">
        <f>IF('muut muuttujat'!$G$3=1,C16,KÄYTTÖTAULU!$B$13)</f>
        <v>4132.86</v>
      </c>
      <c r="F16" s="11">
        <f>IF('muut muuttujat'!$G$3=1,D16,KÄYTTÖTAULU!$B$13)</f>
        <v>4093.31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49">
        <v>10</v>
      </c>
      <c r="X16" s="25">
        <v>1</v>
      </c>
      <c r="Y16" s="25">
        <f t="shared" si="5"/>
        <v>1</v>
      </c>
      <c r="Z16" s="25">
        <f t="shared" si="6"/>
        <v>1</v>
      </c>
      <c r="AA16" s="25">
        <f t="shared" si="7"/>
        <v>1.05</v>
      </c>
      <c r="AB16" s="25">
        <f t="shared" si="8"/>
        <v>1.1025</v>
      </c>
      <c r="AC16" s="49">
        <f t="shared" si="9"/>
        <v>1.2127500000000002</v>
      </c>
      <c r="AE16" s="1">
        <v>0</v>
      </c>
      <c r="AF16" s="1">
        <v>0</v>
      </c>
      <c r="AG16" s="1">
        <v>0</v>
      </c>
      <c r="AH16" s="1">
        <v>5</v>
      </c>
      <c r="AI16" s="1">
        <v>5</v>
      </c>
      <c r="AJ16" s="1">
        <v>10</v>
      </c>
      <c r="AL16" s="1">
        <f t="shared" si="3"/>
        <v>0</v>
      </c>
    </row>
    <row r="17" spans="1:38" ht="12.75">
      <c r="A17" s="1">
        <v>12</v>
      </c>
      <c r="B17" s="10" t="s">
        <v>240</v>
      </c>
      <c r="C17" s="191">
        <f>VLOOKUP(MID(B17,1,8)-0,'1.6.2023'!$B$9:$G$160,3,FALSE)</f>
        <v>4296.81</v>
      </c>
      <c r="D17" s="191">
        <f>VLOOKUP(MID(B17,1,8)-0,'1.6.2023'!$B$9:$G$160,5,FALSE)</f>
        <v>4255.66</v>
      </c>
      <c r="E17" s="11">
        <f>IF('muut muuttujat'!$G$3=1,C17,KÄYTTÖTAULU!$B$13)</f>
        <v>4296.81</v>
      </c>
      <c r="F17" s="11">
        <f>IF('muut muuttujat'!$G$3=1,D17,KÄYTTÖTAULU!$B$13)</f>
        <v>4255.66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49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aca="true" t="shared" si="10" ref="AB17:AB25">(1+V17/100)*AA17</f>
        <v>1.1025</v>
      </c>
      <c r="AC17" s="49">
        <f t="shared" si="4"/>
        <v>1.2127500000000002</v>
      </c>
      <c r="AE17" s="1">
        <v>0</v>
      </c>
      <c r="AF17" s="1">
        <v>0</v>
      </c>
      <c r="AG17" s="1">
        <v>0</v>
      </c>
      <c r="AH17" s="1">
        <v>5</v>
      </c>
      <c r="AI17" s="1">
        <v>5</v>
      </c>
      <c r="AJ17" s="1">
        <v>10</v>
      </c>
      <c r="AL17" s="1">
        <f t="shared" si="3"/>
        <v>0</v>
      </c>
    </row>
    <row r="18" spans="1:38" ht="12.75">
      <c r="A18" s="1">
        <v>13</v>
      </c>
      <c r="B18" s="10" t="s">
        <v>241</v>
      </c>
      <c r="C18" s="191">
        <f>VLOOKUP(MID(B18,1,8)-0,'1.6.2023'!$B$9:$G$160,3,FALSE)</f>
        <v>4664.23</v>
      </c>
      <c r="D18" s="191">
        <f>VLOOKUP(MID(B18,1,8)-0,'1.6.2023'!$B$9:$G$160,5,FALSE)</f>
        <v>4619.64</v>
      </c>
      <c r="E18" s="11">
        <f>IF('muut muuttujat'!$G$3=1,C18,KÄYTTÖTAULU!$B$13)</f>
        <v>4664.23</v>
      </c>
      <c r="F18" s="11">
        <f>IF('muut muuttujat'!$G$3=1,D18,KÄYTTÖTAULU!$B$13)</f>
        <v>4619.64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49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10"/>
        <v>1.1025</v>
      </c>
      <c r="AC18" s="49">
        <f t="shared" si="4"/>
        <v>1.2127500000000002</v>
      </c>
      <c r="AE18" s="1">
        <v>0</v>
      </c>
      <c r="AF18" s="1">
        <v>0</v>
      </c>
      <c r="AG18" s="1">
        <v>0</v>
      </c>
      <c r="AH18" s="1">
        <v>5</v>
      </c>
      <c r="AI18" s="1">
        <v>5</v>
      </c>
      <c r="AJ18" s="1">
        <v>10</v>
      </c>
      <c r="AL18" s="1">
        <f t="shared" si="3"/>
        <v>0</v>
      </c>
    </row>
    <row r="19" spans="1:38" ht="12.75">
      <c r="A19" s="1">
        <v>14</v>
      </c>
      <c r="B19" s="10" t="s">
        <v>242</v>
      </c>
      <c r="C19" s="191">
        <f>VLOOKUP(MID(B19,1,8)-0,'1.6.2023'!$B$9:$G$160,3,FALSE)</f>
        <v>4862.63</v>
      </c>
      <c r="D19" s="191">
        <f>VLOOKUP(MID(B19,1,8)-0,'1.6.2023'!$B$9:$G$160,5,FALSE)</f>
        <v>4816.08</v>
      </c>
      <c r="E19" s="11">
        <f>IF('muut muuttujat'!$G$3=1,C19,KÄYTTÖTAULU!$B$13)</f>
        <v>4862.63</v>
      </c>
      <c r="F19" s="11">
        <f>IF('muut muuttujat'!$G$3=1,D19,KÄYTTÖTAULU!$B$13)</f>
        <v>4816.08</v>
      </c>
      <c r="G19" s="11"/>
      <c r="H19" s="11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49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10"/>
        <v>1.1025</v>
      </c>
      <c r="AC19" s="49">
        <f t="shared" si="4"/>
        <v>1.2127500000000002</v>
      </c>
      <c r="AE19" s="1">
        <v>0</v>
      </c>
      <c r="AF19" s="1">
        <v>0</v>
      </c>
      <c r="AG19" s="1">
        <v>0</v>
      </c>
      <c r="AH19" s="1">
        <v>5</v>
      </c>
      <c r="AI19" s="1">
        <v>5</v>
      </c>
      <c r="AJ19" s="1">
        <v>10</v>
      </c>
      <c r="AL19" s="1">
        <f t="shared" si="3"/>
        <v>0</v>
      </c>
    </row>
    <row r="20" spans="1:38" ht="12.75">
      <c r="A20" s="1">
        <v>15</v>
      </c>
      <c r="B20" s="10" t="s">
        <v>243</v>
      </c>
      <c r="C20" s="191" t="s">
        <v>453</v>
      </c>
      <c r="D20" s="191" t="s">
        <v>453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191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49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10"/>
        <v>1.1025</v>
      </c>
      <c r="AC20" s="49">
        <f t="shared" si="4"/>
        <v>1.2127500000000002</v>
      </c>
      <c r="AE20" s="1">
        <v>0</v>
      </c>
      <c r="AF20" s="1">
        <v>0</v>
      </c>
      <c r="AG20" s="1">
        <v>0</v>
      </c>
      <c r="AH20" s="1">
        <v>5</v>
      </c>
      <c r="AI20" s="1">
        <v>5</v>
      </c>
      <c r="AJ20" s="1">
        <v>10</v>
      </c>
      <c r="AL20" s="1">
        <f t="shared" si="3"/>
        <v>0</v>
      </c>
    </row>
    <row r="21" spans="1:38" ht="12.75">
      <c r="A21" s="1">
        <v>16</v>
      </c>
      <c r="B21" s="10" t="s">
        <v>244</v>
      </c>
      <c r="C21" s="191" t="s">
        <v>453</v>
      </c>
      <c r="D21" s="191" t="s">
        <v>453</v>
      </c>
      <c r="E21" s="11" t="str">
        <f>IF('muut muuttujat'!$G$3=1,C21,KÄYTTÖTAULU!$B$13)</f>
        <v>% rehtorista</v>
      </c>
      <c r="F21" s="11" t="str">
        <f>IF('muut muuttujat'!$G$3=1,D21,KÄYTTÖTAULU!$B$13)</f>
        <v>% rehtorista</v>
      </c>
      <c r="G21" s="11"/>
      <c r="H21" s="19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49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10"/>
        <v>1.1025</v>
      </c>
      <c r="AC21" s="49">
        <f t="shared" si="4"/>
        <v>1.2127500000000002</v>
      </c>
      <c r="AE21" s="1">
        <v>0</v>
      </c>
      <c r="AF21" s="1">
        <v>0</v>
      </c>
      <c r="AG21" s="1">
        <v>0</v>
      </c>
      <c r="AH21" s="1">
        <v>5</v>
      </c>
      <c r="AI21" s="1">
        <v>5</v>
      </c>
      <c r="AJ21" s="1">
        <v>10</v>
      </c>
      <c r="AL21" s="1">
        <f t="shared" si="3"/>
        <v>0</v>
      </c>
    </row>
    <row r="22" spans="1:38" ht="12.75">
      <c r="A22" s="1">
        <v>17</v>
      </c>
      <c r="B22" s="10" t="s">
        <v>245</v>
      </c>
      <c r="C22" s="191">
        <f>VLOOKUP(MID(B22,1,8)-0,'1.6.2023'!$B$9:$G$160,3,FALSE)</f>
        <v>4727.83</v>
      </c>
      <c r="D22" s="191">
        <f>VLOOKUP(MID(B22,1,8)-0,'1.6.2023'!$B$9:$G$160,5,FALSE)</f>
        <v>4682.59</v>
      </c>
      <c r="E22" s="11">
        <f>IF('muut muuttujat'!$G$3=1,C22,KÄYTTÖTAULU!$B$13)</f>
        <v>4727.83</v>
      </c>
      <c r="F22" s="11">
        <f>IF('muut muuttujat'!$G$3=1,D22,KÄYTTÖTAULU!$B$13)</f>
        <v>4682.59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49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10"/>
        <v>1.1025</v>
      </c>
      <c r="AC22" s="49">
        <f t="shared" si="4"/>
        <v>1.2127500000000002</v>
      </c>
      <c r="AE22" s="1">
        <v>0</v>
      </c>
      <c r="AF22" s="1">
        <v>0</v>
      </c>
      <c r="AG22" s="1">
        <v>0</v>
      </c>
      <c r="AH22" s="1">
        <v>5</v>
      </c>
      <c r="AI22" s="1">
        <v>5</v>
      </c>
      <c r="AJ22" s="1">
        <v>10</v>
      </c>
      <c r="AL22" s="1">
        <f t="shared" si="3"/>
        <v>0</v>
      </c>
    </row>
    <row r="23" spans="1:38" ht="12.75">
      <c r="A23" s="1">
        <v>18</v>
      </c>
      <c r="B23" s="10" t="s">
        <v>246</v>
      </c>
      <c r="C23" s="191">
        <f>VLOOKUP(MID(B23,1,8)-0,'1.6.2023'!$B$9:$G$160,3,FALSE)</f>
        <v>4727.83</v>
      </c>
      <c r="D23" s="191">
        <f>VLOOKUP(MID(B23,1,8)-0,'1.6.2023'!$B$9:$G$160,5,FALSE)</f>
        <v>4682.59</v>
      </c>
      <c r="E23" s="11">
        <f>IF('muut muuttujat'!$G$3=1,C23,KÄYTTÖTAULU!$B$13)</f>
        <v>4727.83</v>
      </c>
      <c r="F23" s="11">
        <f>IF('muut muuttujat'!$G$3=1,D23,KÄYTTÖTAULU!$B$13)</f>
        <v>4682.59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0</v>
      </c>
      <c r="T23" s="25">
        <v>0</v>
      </c>
      <c r="U23" s="25">
        <v>5</v>
      </c>
      <c r="V23" s="25">
        <v>5</v>
      </c>
      <c r="W23" s="49">
        <v>10</v>
      </c>
      <c r="X23" s="25">
        <v>1</v>
      </c>
      <c r="Y23" s="25">
        <f t="shared" si="0"/>
        <v>1</v>
      </c>
      <c r="Z23" s="25">
        <f t="shared" si="1"/>
        <v>1</v>
      </c>
      <c r="AA23" s="25">
        <f t="shared" si="2"/>
        <v>1.05</v>
      </c>
      <c r="AB23" s="25">
        <f t="shared" si="10"/>
        <v>1.1025</v>
      </c>
      <c r="AC23" s="49">
        <f t="shared" si="4"/>
        <v>1.2127500000000002</v>
      </c>
      <c r="AE23" s="1">
        <v>0</v>
      </c>
      <c r="AF23" s="1">
        <v>0</v>
      </c>
      <c r="AG23" s="1">
        <v>0</v>
      </c>
      <c r="AH23" s="1">
        <v>5</v>
      </c>
      <c r="AI23" s="1">
        <v>5</v>
      </c>
      <c r="AJ23" s="1">
        <v>10</v>
      </c>
      <c r="AL23" s="1">
        <f t="shared" si="3"/>
        <v>0</v>
      </c>
    </row>
    <row r="24" spans="1:38" ht="12.75">
      <c r="A24" s="1">
        <v>19</v>
      </c>
      <c r="B24" s="10" t="s">
        <v>247</v>
      </c>
      <c r="C24" s="191">
        <f>VLOOKUP(MID(B24,1,8)-0,'1.6.2023'!$B$9:$G$160,3,FALSE)</f>
        <v>3258.35</v>
      </c>
      <c r="D24" s="191">
        <f>VLOOKUP(MID(B24,1,8)-0,'1.6.2023'!$B$9:$G$160,5,FALSE)</f>
        <v>3227.32</v>
      </c>
      <c r="E24" s="11">
        <f>IF('muut muuttujat'!$G$3=1,C24,KÄYTTÖTAULU!$B$13)</f>
        <v>3258.35</v>
      </c>
      <c r="F24" s="11">
        <f>IF('muut muuttujat'!$G$3=1,D24,KÄYTTÖTAULU!$B$13)</f>
        <v>3227.32</v>
      </c>
      <c r="G24" s="11"/>
      <c r="H24" s="11"/>
      <c r="I24" s="11"/>
      <c r="J24" s="11"/>
      <c r="O24" s="11"/>
      <c r="P24" s="11"/>
      <c r="Q24" s="11"/>
      <c r="R24" s="24">
        <v>0</v>
      </c>
      <c r="S24" s="25">
        <v>2</v>
      </c>
      <c r="T24" s="25">
        <v>2</v>
      </c>
      <c r="U24" s="25">
        <v>5</v>
      </c>
      <c r="V24" s="25">
        <v>11</v>
      </c>
      <c r="W24" s="49">
        <v>0</v>
      </c>
      <c r="X24" s="25">
        <v>1</v>
      </c>
      <c r="Y24" s="25">
        <f t="shared" si="0"/>
        <v>1.02</v>
      </c>
      <c r="Z24" s="25">
        <f t="shared" si="1"/>
        <v>1.0404</v>
      </c>
      <c r="AA24" s="25">
        <f t="shared" si="2"/>
        <v>1.09242</v>
      </c>
      <c r="AB24" s="25">
        <f t="shared" si="10"/>
        <v>1.2125862</v>
      </c>
      <c r="AC24" s="49">
        <f t="shared" si="4"/>
        <v>1.2125862</v>
      </c>
      <c r="AE24" s="1">
        <v>0</v>
      </c>
      <c r="AF24" s="1">
        <v>2</v>
      </c>
      <c r="AG24" s="1">
        <v>3</v>
      </c>
      <c r="AH24" s="1">
        <v>5</v>
      </c>
      <c r="AI24" s="1">
        <v>11</v>
      </c>
      <c r="AJ24" s="1">
        <v>0</v>
      </c>
      <c r="AL24" s="1">
        <f t="shared" si="3"/>
        <v>1</v>
      </c>
    </row>
    <row r="25" spans="1:38" ht="12.75">
      <c r="A25" s="1">
        <v>20</v>
      </c>
      <c r="B25" s="10" t="s">
        <v>248</v>
      </c>
      <c r="C25" s="191" t="s">
        <v>454</v>
      </c>
      <c r="D25" s="191" t="s">
        <v>454</v>
      </c>
      <c r="E25" s="11" t="str">
        <f>IF('muut muuttujat'!$G$3=1,C25,KÄYTTÖTAULU!$B$13)</f>
        <v>epäpät %</v>
      </c>
      <c r="F25" s="11" t="str">
        <f>IF('muut muuttujat'!$G$3=1,D25,KÄYTTÖTAULU!$B$13)</f>
        <v>epäpät %</v>
      </c>
      <c r="G25" s="11"/>
      <c r="H25" s="191"/>
      <c r="I25" s="11"/>
      <c r="J25" s="11"/>
      <c r="O25" s="11"/>
      <c r="P25" s="11"/>
      <c r="Q25" s="11"/>
      <c r="R25" s="24">
        <v>0</v>
      </c>
      <c r="S25" s="25">
        <v>2</v>
      </c>
      <c r="T25" s="25">
        <v>2</v>
      </c>
      <c r="U25" s="25">
        <v>5</v>
      </c>
      <c r="V25" s="25">
        <v>11</v>
      </c>
      <c r="W25" s="49">
        <v>0</v>
      </c>
      <c r="X25" s="25">
        <v>1</v>
      </c>
      <c r="Y25" s="25">
        <f t="shared" si="0"/>
        <v>1.02</v>
      </c>
      <c r="Z25" s="25">
        <f t="shared" si="1"/>
        <v>1.0404</v>
      </c>
      <c r="AA25" s="25">
        <f t="shared" si="2"/>
        <v>1.09242</v>
      </c>
      <c r="AB25" s="25">
        <f t="shared" si="10"/>
        <v>1.2125862</v>
      </c>
      <c r="AC25" s="49">
        <f t="shared" si="4"/>
        <v>1.2125862</v>
      </c>
      <c r="AE25" s="1">
        <v>0</v>
      </c>
      <c r="AF25" s="1">
        <v>2</v>
      </c>
      <c r="AG25" s="1">
        <v>3</v>
      </c>
      <c r="AH25" s="1">
        <v>5</v>
      </c>
      <c r="AI25" s="1">
        <v>11</v>
      </c>
      <c r="AJ25" s="1">
        <v>0</v>
      </c>
      <c r="AL25" s="1">
        <f t="shared" si="3"/>
        <v>1</v>
      </c>
    </row>
    <row r="26" spans="1:38" ht="12.75">
      <c r="A26" s="1">
        <v>21</v>
      </c>
      <c r="B26" s="10" t="s">
        <v>476</v>
      </c>
      <c r="C26" s="191">
        <f>VLOOKUP(MID(B26,1,8)-0,'1.6.2023'!$B$9:$G$160,3,FALSE)</f>
        <v>4082.71</v>
      </c>
      <c r="D26" s="191">
        <f>VLOOKUP(MID(B26,1,8)-0,'1.6.2023'!$B$9:$G$160,5,FALSE)</f>
        <v>4048.77</v>
      </c>
      <c r="E26" s="11">
        <f>IF('muut muuttujat'!$G$3=1,C26,KÄYTTÖTAULU!$B$13)</f>
        <v>4082.71</v>
      </c>
      <c r="F26" s="11">
        <f>IF('muut muuttujat'!$G$3=1,D26,KÄYTTÖTAULU!$B$13)</f>
        <v>4048.77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49">
        <v>0</v>
      </c>
      <c r="X26" s="25">
        <v>1</v>
      </c>
      <c r="Y26" s="25">
        <f>1+S26/100</f>
        <v>1.02</v>
      </c>
      <c r="Z26" s="25">
        <f aca="true" t="shared" si="11" ref="Z26:AC27">(1+T26/100)*Y26</f>
        <v>1.0506</v>
      </c>
      <c r="AA26" s="25">
        <f t="shared" si="11"/>
        <v>1.10313</v>
      </c>
      <c r="AB26" s="25">
        <f t="shared" si="11"/>
        <v>1.2244743</v>
      </c>
      <c r="AC26" s="49">
        <f t="shared" si="11"/>
        <v>1.2244743</v>
      </c>
      <c r="AE26" s="1">
        <v>0</v>
      </c>
      <c r="AF26" s="1">
        <v>2</v>
      </c>
      <c r="AG26" s="1">
        <v>3</v>
      </c>
      <c r="AH26" s="1">
        <v>5</v>
      </c>
      <c r="AI26" s="1">
        <v>11</v>
      </c>
      <c r="AJ26" s="1">
        <v>0</v>
      </c>
      <c r="AL26" s="1">
        <f t="shared" si="3"/>
        <v>0</v>
      </c>
    </row>
    <row r="27" spans="1:38" ht="12.75">
      <c r="A27" s="1">
        <v>22</v>
      </c>
      <c r="B27" s="10" t="s">
        <v>477</v>
      </c>
      <c r="C27" s="191" t="s">
        <v>454</v>
      </c>
      <c r="D27" s="191" t="s">
        <v>454</v>
      </c>
      <c r="E27" s="11" t="str">
        <f>IF('muut muuttujat'!$G$3=1,C27,KÄYTTÖTAULU!$B$13)</f>
        <v>epäpät %</v>
      </c>
      <c r="F27" s="11" t="str">
        <f>IF('muut muuttujat'!$G$3=1,D27,KÄYTTÖTAULU!$B$13)</f>
        <v>epäpät %</v>
      </c>
      <c r="G27" s="11"/>
      <c r="H27" s="11"/>
      <c r="I27" s="11"/>
      <c r="J27" s="11"/>
      <c r="O27" s="11"/>
      <c r="P27" s="11"/>
      <c r="Q27" s="11"/>
      <c r="R27" s="24">
        <v>0</v>
      </c>
      <c r="S27" s="25">
        <v>2</v>
      </c>
      <c r="T27" s="25">
        <v>3</v>
      </c>
      <c r="U27" s="25">
        <v>5</v>
      </c>
      <c r="V27" s="25">
        <v>11</v>
      </c>
      <c r="W27" s="49">
        <v>0</v>
      </c>
      <c r="X27" s="25">
        <v>1</v>
      </c>
      <c r="Y27" s="25">
        <f>1+S27/100</f>
        <v>1.02</v>
      </c>
      <c r="Z27" s="25">
        <f t="shared" si="11"/>
        <v>1.0506</v>
      </c>
      <c r="AA27" s="25">
        <f t="shared" si="11"/>
        <v>1.10313</v>
      </c>
      <c r="AB27" s="25">
        <f t="shared" si="11"/>
        <v>1.2244743</v>
      </c>
      <c r="AC27" s="49">
        <f t="shared" si="11"/>
        <v>1.2244743</v>
      </c>
      <c r="AE27" s="1">
        <v>0</v>
      </c>
      <c r="AF27" s="1">
        <v>2</v>
      </c>
      <c r="AG27" s="1">
        <v>3</v>
      </c>
      <c r="AH27" s="1">
        <v>5</v>
      </c>
      <c r="AI27" s="1">
        <v>11</v>
      </c>
      <c r="AJ27" s="1">
        <v>0</v>
      </c>
      <c r="AL27" s="1">
        <f t="shared" si="3"/>
        <v>0</v>
      </c>
    </row>
    <row r="28" spans="1:29" ht="12.75">
      <c r="A28" s="1">
        <v>23</v>
      </c>
      <c r="B28" s="10" t="s">
        <v>478</v>
      </c>
      <c r="C28" s="191">
        <f>VLOOKUP(MID(B28,1,8)-0,'1.6.2023'!$B$9:$G$160,3,FALSE)</f>
        <v>4082.71</v>
      </c>
      <c r="D28" s="191">
        <f>VLOOKUP(MID(B28,1,8)-0,'1.6.2023'!$B$9:$G$160,5,FALSE)</f>
        <v>4048.77</v>
      </c>
      <c r="E28" s="11">
        <f>IF('muut muuttujat'!$G$3=1,C28,KÄYTTÖTAULU!$B$13)</f>
        <v>4082.71</v>
      </c>
      <c r="F28" s="11">
        <f>IF('muut muuttujat'!$G$3=1,D28,KÄYTTÖTAULU!$B$13)</f>
        <v>4048.77</v>
      </c>
      <c r="G28" s="11"/>
      <c r="H28" s="11"/>
      <c r="I28" s="11"/>
      <c r="J28" s="11"/>
      <c r="O28" s="11"/>
      <c r="P28" s="11"/>
      <c r="Q28" s="11"/>
      <c r="R28" s="24">
        <v>0</v>
      </c>
      <c r="S28" s="25">
        <v>2</v>
      </c>
      <c r="T28" s="25">
        <v>3</v>
      </c>
      <c r="U28" s="25">
        <v>5</v>
      </c>
      <c r="V28" s="25">
        <v>11</v>
      </c>
      <c r="W28" s="49">
        <v>0</v>
      </c>
      <c r="X28" s="25">
        <v>1</v>
      </c>
      <c r="Y28" s="25">
        <f aca="true" t="shared" si="12" ref="Y28:Y33">1+S28/100</f>
        <v>1.02</v>
      </c>
      <c r="Z28" s="25">
        <f aca="true" t="shared" si="13" ref="Z28:Z33">(1+T28/100)*Y28</f>
        <v>1.0506</v>
      </c>
      <c r="AA28" s="25">
        <f aca="true" t="shared" si="14" ref="AA28:AA33">(1+U28/100)*Z28</f>
        <v>1.10313</v>
      </c>
      <c r="AB28" s="25">
        <f aca="true" t="shared" si="15" ref="AB28:AB33">(1+V28/100)*AA28</f>
        <v>1.2244743</v>
      </c>
      <c r="AC28" s="49">
        <f aca="true" t="shared" si="16" ref="AC28:AC33">(1+W28/100)*AB28</f>
        <v>1.2244743</v>
      </c>
    </row>
    <row r="29" spans="1:29" ht="12.75">
      <c r="A29" s="1">
        <v>24</v>
      </c>
      <c r="B29" s="10" t="s">
        <v>479</v>
      </c>
      <c r="C29" s="191" t="s">
        <v>454</v>
      </c>
      <c r="D29" s="191" t="s">
        <v>454</v>
      </c>
      <c r="E29" s="11" t="str">
        <f>IF('muut muuttujat'!$G$3=1,C29,KÄYTTÖTAULU!$B$13)</f>
        <v>epäpät %</v>
      </c>
      <c r="F29" s="11" t="str">
        <f>IF('muut muuttujat'!$G$3=1,D29,KÄYTTÖTAULU!$B$13)</f>
        <v>epäpät %</v>
      </c>
      <c r="G29" s="11"/>
      <c r="H29" s="11"/>
      <c r="I29" s="11"/>
      <c r="J29" s="11"/>
      <c r="O29" s="11"/>
      <c r="P29" s="11"/>
      <c r="Q29" s="11"/>
      <c r="R29" s="24">
        <v>0</v>
      </c>
      <c r="S29" s="25">
        <v>2</v>
      </c>
      <c r="T29" s="25">
        <v>3</v>
      </c>
      <c r="U29" s="25">
        <v>5</v>
      </c>
      <c r="V29" s="25">
        <v>11</v>
      </c>
      <c r="W29" s="49">
        <v>0</v>
      </c>
      <c r="X29" s="25">
        <v>1</v>
      </c>
      <c r="Y29" s="25">
        <f t="shared" si="12"/>
        <v>1.02</v>
      </c>
      <c r="Z29" s="25">
        <f t="shared" si="13"/>
        <v>1.0506</v>
      </c>
      <c r="AA29" s="25">
        <f t="shared" si="14"/>
        <v>1.10313</v>
      </c>
      <c r="AB29" s="25">
        <f t="shared" si="15"/>
        <v>1.2244743</v>
      </c>
      <c r="AC29" s="49">
        <f t="shared" si="16"/>
        <v>1.2244743</v>
      </c>
    </row>
    <row r="30" spans="1:38" ht="12.75">
      <c r="A30" s="1">
        <v>25</v>
      </c>
      <c r="B30" s="10" t="s">
        <v>480</v>
      </c>
      <c r="C30" s="191">
        <f>VLOOKUP(MID(B30,1,8)-0,'1.6.2023'!$B$9:$G$160,3,FALSE)</f>
        <v>4082.71</v>
      </c>
      <c r="D30" s="191">
        <f>VLOOKUP(MID(B30,1,8)-0,'1.6.2023'!$B$9:$G$160,5,FALSE)</f>
        <v>4048.77</v>
      </c>
      <c r="E30" s="11">
        <f>IF('muut muuttujat'!$G$3=1,C30,KÄYTTÖTAULU!$B$13)</f>
        <v>4082.71</v>
      </c>
      <c r="F30" s="11">
        <f>IF('muut muuttujat'!$G$3=1,D30,KÄYTTÖTAULU!$B$13)</f>
        <v>4048.77</v>
      </c>
      <c r="G30" s="11"/>
      <c r="H30" s="11"/>
      <c r="I30" s="11"/>
      <c r="J30" s="11"/>
      <c r="O30" s="11"/>
      <c r="P30" s="11"/>
      <c r="Q30" s="11"/>
      <c r="R30" s="24">
        <v>0</v>
      </c>
      <c r="S30" s="25">
        <v>2</v>
      </c>
      <c r="T30" s="25">
        <v>3</v>
      </c>
      <c r="U30" s="25">
        <v>5</v>
      </c>
      <c r="V30" s="25">
        <v>11</v>
      </c>
      <c r="W30" s="49">
        <v>0</v>
      </c>
      <c r="X30" s="25">
        <v>1</v>
      </c>
      <c r="Y30" s="25">
        <f t="shared" si="12"/>
        <v>1.02</v>
      </c>
      <c r="Z30" s="25">
        <f t="shared" si="13"/>
        <v>1.0506</v>
      </c>
      <c r="AA30" s="25">
        <f t="shared" si="14"/>
        <v>1.10313</v>
      </c>
      <c r="AB30" s="25">
        <f t="shared" si="15"/>
        <v>1.2244743</v>
      </c>
      <c r="AC30" s="49">
        <f t="shared" si="16"/>
        <v>1.2244743</v>
      </c>
      <c r="AE30" s="1">
        <v>0</v>
      </c>
      <c r="AF30" s="1">
        <v>2</v>
      </c>
      <c r="AG30" s="1">
        <v>3</v>
      </c>
      <c r="AH30" s="1">
        <v>5</v>
      </c>
      <c r="AI30" s="1">
        <v>11</v>
      </c>
      <c r="AJ30" s="1">
        <v>0</v>
      </c>
      <c r="AL30" s="1">
        <f t="shared" si="3"/>
        <v>0</v>
      </c>
    </row>
    <row r="31" spans="1:38" ht="12.75">
      <c r="A31" s="1">
        <v>26</v>
      </c>
      <c r="B31" s="10" t="s">
        <v>481</v>
      </c>
      <c r="C31" s="191" t="s">
        <v>454</v>
      </c>
      <c r="D31" s="191" t="s">
        <v>454</v>
      </c>
      <c r="E31" s="11" t="str">
        <f>IF('muut muuttujat'!$G$3=1,C31,KÄYTTÖTAULU!$B$13)</f>
        <v>epäpät %</v>
      </c>
      <c r="F31" s="11" t="str">
        <f>IF('muut muuttujat'!$G$3=1,D31,KÄYTTÖTAULU!$B$13)</f>
        <v>epäpät %</v>
      </c>
      <c r="G31" s="11"/>
      <c r="H31" s="11"/>
      <c r="I31" s="11"/>
      <c r="J31" s="11"/>
      <c r="O31" s="11"/>
      <c r="P31" s="11"/>
      <c r="Q31" s="11"/>
      <c r="R31" s="24">
        <v>0</v>
      </c>
      <c r="S31" s="25">
        <v>2</v>
      </c>
      <c r="T31" s="25">
        <v>3</v>
      </c>
      <c r="U31" s="25">
        <v>5</v>
      </c>
      <c r="V31" s="25">
        <v>11</v>
      </c>
      <c r="W31" s="49">
        <v>0</v>
      </c>
      <c r="X31" s="25">
        <v>1</v>
      </c>
      <c r="Y31" s="25">
        <f t="shared" si="12"/>
        <v>1.02</v>
      </c>
      <c r="Z31" s="25">
        <f t="shared" si="13"/>
        <v>1.0506</v>
      </c>
      <c r="AA31" s="25">
        <f t="shared" si="14"/>
        <v>1.10313</v>
      </c>
      <c r="AB31" s="25">
        <f t="shared" si="15"/>
        <v>1.2244743</v>
      </c>
      <c r="AC31" s="49">
        <f t="shared" si="16"/>
        <v>1.2244743</v>
      </c>
      <c r="AE31" s="1">
        <v>0</v>
      </c>
      <c r="AF31" s="1">
        <v>2</v>
      </c>
      <c r="AG31" s="1">
        <v>3</v>
      </c>
      <c r="AH31" s="1">
        <v>5</v>
      </c>
      <c r="AI31" s="1">
        <v>11</v>
      </c>
      <c r="AJ31" s="1">
        <v>0</v>
      </c>
      <c r="AL31" s="1">
        <f t="shared" si="3"/>
        <v>0</v>
      </c>
    </row>
    <row r="32" spans="1:29" ht="12.75">
      <c r="A32" s="1">
        <v>27</v>
      </c>
      <c r="B32" s="10" t="s">
        <v>482</v>
      </c>
      <c r="C32" s="191">
        <f>VLOOKUP(MID(B32,1,8)-0,'1.6.2023'!$B$9:$G$160,3,FALSE)</f>
        <v>4082.71</v>
      </c>
      <c r="D32" s="191">
        <f>VLOOKUP(MID(B32,1,8)-0,'1.6.2023'!$B$9:$G$160,5,FALSE)</f>
        <v>4048.77</v>
      </c>
      <c r="E32" s="11">
        <f>IF('muut muuttujat'!$G$3=1,C32,KÄYTTÖTAULU!$B$13)</f>
        <v>4082.71</v>
      </c>
      <c r="F32" s="11">
        <f>IF('muut muuttujat'!$G$3=1,D32,KÄYTTÖTAULU!$B$13)</f>
        <v>4048.77</v>
      </c>
      <c r="G32" s="11"/>
      <c r="H32" s="11"/>
      <c r="I32" s="11"/>
      <c r="J32" s="11"/>
      <c r="O32" s="11"/>
      <c r="P32" s="11"/>
      <c r="Q32" s="11"/>
      <c r="R32" s="24">
        <v>0</v>
      </c>
      <c r="S32" s="25">
        <v>2</v>
      </c>
      <c r="T32" s="25">
        <v>3</v>
      </c>
      <c r="U32" s="25">
        <v>5</v>
      </c>
      <c r="V32" s="25">
        <v>11</v>
      </c>
      <c r="W32" s="49">
        <v>0</v>
      </c>
      <c r="X32" s="25">
        <v>1</v>
      </c>
      <c r="Y32" s="25">
        <f t="shared" si="12"/>
        <v>1.02</v>
      </c>
      <c r="Z32" s="25">
        <f t="shared" si="13"/>
        <v>1.0506</v>
      </c>
      <c r="AA32" s="25">
        <f t="shared" si="14"/>
        <v>1.10313</v>
      </c>
      <c r="AB32" s="25">
        <f t="shared" si="15"/>
        <v>1.2244743</v>
      </c>
      <c r="AC32" s="49">
        <f t="shared" si="16"/>
        <v>1.2244743</v>
      </c>
    </row>
    <row r="33" spans="1:29" ht="12.75">
      <c r="A33" s="1">
        <v>28</v>
      </c>
      <c r="B33" s="10" t="s">
        <v>483</v>
      </c>
      <c r="C33" s="191" t="s">
        <v>454</v>
      </c>
      <c r="D33" s="191" t="s">
        <v>454</v>
      </c>
      <c r="E33" s="11" t="str">
        <f>IF('muut muuttujat'!$G$3=1,C33,KÄYTTÖTAULU!$B$13)</f>
        <v>epäpät %</v>
      </c>
      <c r="F33" s="11" t="str">
        <f>IF('muut muuttujat'!$G$3=1,D33,KÄYTTÖTAULU!$B$13)</f>
        <v>epäpät %</v>
      </c>
      <c r="G33" s="11"/>
      <c r="H33" s="11"/>
      <c r="I33" s="11"/>
      <c r="J33" s="11"/>
      <c r="O33" s="11"/>
      <c r="P33" s="11"/>
      <c r="Q33" s="11"/>
      <c r="R33" s="24">
        <v>0</v>
      </c>
      <c r="S33" s="25">
        <v>2</v>
      </c>
      <c r="T33" s="25">
        <v>3</v>
      </c>
      <c r="U33" s="25">
        <v>5</v>
      </c>
      <c r="V33" s="25">
        <v>11</v>
      </c>
      <c r="W33" s="49">
        <v>0</v>
      </c>
      <c r="X33" s="25">
        <v>1</v>
      </c>
      <c r="Y33" s="25">
        <f t="shared" si="12"/>
        <v>1.02</v>
      </c>
      <c r="Z33" s="25">
        <f t="shared" si="13"/>
        <v>1.0506</v>
      </c>
      <c r="AA33" s="25">
        <f t="shared" si="14"/>
        <v>1.10313</v>
      </c>
      <c r="AB33" s="25">
        <f t="shared" si="15"/>
        <v>1.2244743</v>
      </c>
      <c r="AC33" s="49">
        <f t="shared" si="16"/>
        <v>1.2244743</v>
      </c>
    </row>
    <row r="34" spans="1:38" ht="12.75">
      <c r="A34" s="1">
        <v>29</v>
      </c>
      <c r="B34" s="10" t="s">
        <v>249</v>
      </c>
      <c r="C34" s="191">
        <f>VLOOKUP(MID(B34,1,8)-0,'1.6.2023'!$B$9:$G$160,3,FALSE)</f>
        <v>3101.59</v>
      </c>
      <c r="D34" s="191">
        <f>VLOOKUP(MID(B34,1,8)-0,'1.6.2023'!$B$9:$G$160,5,FALSE)</f>
        <v>3072.25</v>
      </c>
      <c r="E34" s="11">
        <f>IF('muut muuttujat'!$G$3=1,C34,KÄYTTÖTAULU!$B$13)</f>
        <v>3101.59</v>
      </c>
      <c r="F34" s="11">
        <f>IF('muut muuttujat'!$G$3=1,D34,KÄYTTÖTAULU!$B$13)</f>
        <v>3072.25</v>
      </c>
      <c r="G34" s="11">
        <f>KÄYTTÖTAULU!$F$6</f>
        <v>0</v>
      </c>
      <c r="H34" s="11">
        <f>KÄYTTÖTAULU!$F$6</f>
        <v>0</v>
      </c>
      <c r="I34" s="11">
        <f aca="true" t="shared" si="17" ref="I34:I80">G34*0.83</f>
        <v>0</v>
      </c>
      <c r="J34" s="11">
        <f>H34*0.83</f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aca="true" t="shared" si="18" ref="M34:M80">ROUND(K34*(12/38),2)</f>
        <v>#DIV/0!</v>
      </c>
      <c r="N34" s="1" t="e">
        <f aca="true" t="shared" si="19" ref="N34:N80">ROUND(L34*(12/38),2)</f>
        <v>#DIV/0!</v>
      </c>
      <c r="O34" s="11"/>
      <c r="P34" s="11"/>
      <c r="Q34" s="11"/>
      <c r="R34" s="24">
        <v>0</v>
      </c>
      <c r="S34" s="25">
        <v>4</v>
      </c>
      <c r="T34" s="25">
        <v>3</v>
      </c>
      <c r="U34" s="25">
        <v>6</v>
      </c>
      <c r="V34" s="25">
        <v>6</v>
      </c>
      <c r="W34" s="49">
        <v>6</v>
      </c>
      <c r="X34" s="25">
        <v>1</v>
      </c>
      <c r="Y34" s="25">
        <f t="shared" si="0"/>
        <v>1.04</v>
      </c>
      <c r="Z34" s="25">
        <f t="shared" si="1"/>
        <v>1.0712000000000002</v>
      </c>
      <c r="AA34" s="25">
        <f t="shared" si="2"/>
        <v>1.1354720000000003</v>
      </c>
      <c r="AB34" s="25">
        <f aca="true" t="shared" si="20" ref="AB34:AB92">(1+V34/100)*AA34</f>
        <v>1.2036003200000003</v>
      </c>
      <c r="AC34" s="49">
        <f t="shared" si="4"/>
        <v>1.2758163392000004</v>
      </c>
      <c r="AE34" s="1">
        <v>0</v>
      </c>
      <c r="AF34" s="1">
        <v>4</v>
      </c>
      <c r="AG34" s="1">
        <v>4</v>
      </c>
      <c r="AH34" s="1">
        <v>6</v>
      </c>
      <c r="AI34" s="1">
        <v>6</v>
      </c>
      <c r="AJ34" s="1">
        <v>6</v>
      </c>
      <c r="AL34" s="1">
        <f t="shared" si="3"/>
        <v>1</v>
      </c>
    </row>
    <row r="35" spans="1:38" ht="12.75">
      <c r="A35" s="1">
        <v>30</v>
      </c>
      <c r="B35" s="10" t="s">
        <v>250</v>
      </c>
      <c r="C35" s="191">
        <f>VLOOKUP(MID(B35,1,8)-0,'1.6.2023'!$B$9:$G$160,3,FALSE)</f>
        <v>2891.53</v>
      </c>
      <c r="D35" s="191">
        <f>VLOOKUP(MID(B35,1,8)-0,'1.6.2023'!$B$9:$G$160,5,FALSE)</f>
        <v>2864.2</v>
      </c>
      <c r="E35" s="11">
        <f>IF('muut muuttujat'!$G$3=1,C35,KÄYTTÖTAULU!$B$13)</f>
        <v>2891.53</v>
      </c>
      <c r="F35" s="11">
        <f>IF('muut muuttujat'!$G$3=1,D35,KÄYTTÖTAULU!$B$13)</f>
        <v>2864.2</v>
      </c>
      <c r="G35" s="11">
        <f>KÄYTTÖTAULU!$F$6</f>
        <v>0</v>
      </c>
      <c r="H35" s="11">
        <f>KÄYTTÖTAULU!$F$6</f>
        <v>0</v>
      </c>
      <c r="I35" s="11">
        <f t="shared" si="17"/>
        <v>0</v>
      </c>
      <c r="J35" s="11">
        <f>H35*0.83</f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8"/>
        <v>#DIV/0!</v>
      </c>
      <c r="N35" s="1" t="e">
        <f t="shared" si="19"/>
        <v>#DIV/0!</v>
      </c>
      <c r="O35" s="11"/>
      <c r="P35" s="11"/>
      <c r="Q35" s="11"/>
      <c r="R35" s="24">
        <v>0</v>
      </c>
      <c r="S35" s="25">
        <v>4</v>
      </c>
      <c r="T35" s="25">
        <v>3</v>
      </c>
      <c r="U35" s="25">
        <v>6</v>
      </c>
      <c r="V35" s="25">
        <v>6</v>
      </c>
      <c r="W35" s="49">
        <v>6</v>
      </c>
      <c r="X35" s="25">
        <v>1</v>
      </c>
      <c r="Y35" s="25">
        <f t="shared" si="0"/>
        <v>1.04</v>
      </c>
      <c r="Z35" s="25">
        <f t="shared" si="1"/>
        <v>1.0712000000000002</v>
      </c>
      <c r="AA35" s="25">
        <f t="shared" si="2"/>
        <v>1.1354720000000003</v>
      </c>
      <c r="AB35" s="25">
        <f t="shared" si="20"/>
        <v>1.2036003200000003</v>
      </c>
      <c r="AC35" s="49">
        <f t="shared" si="4"/>
        <v>1.2758163392000004</v>
      </c>
      <c r="AE35" s="1">
        <v>0</v>
      </c>
      <c r="AF35" s="1">
        <v>4</v>
      </c>
      <c r="AG35" s="1">
        <v>4</v>
      </c>
      <c r="AH35" s="1">
        <v>6</v>
      </c>
      <c r="AI35" s="1">
        <v>6</v>
      </c>
      <c r="AJ35" s="1">
        <v>6</v>
      </c>
      <c r="AL35" s="1">
        <f t="shared" si="3"/>
        <v>1</v>
      </c>
    </row>
    <row r="36" spans="1:38" ht="12.75">
      <c r="A36" s="1">
        <v>31</v>
      </c>
      <c r="B36" s="10" t="s">
        <v>251</v>
      </c>
      <c r="C36" s="191">
        <f>VLOOKUP(MID(B36,1,8)-0,'1.6.2023'!$B$9:$G$160,3,FALSE)</f>
        <v>2534.52</v>
      </c>
      <c r="D36" s="191">
        <f>VLOOKUP(MID(B36,1,8)-0,'1.6.2023'!$B$9:$G$160,5,FALSE)</f>
        <v>2510.55</v>
      </c>
      <c r="E36" s="11">
        <f>IF('muut muuttujat'!$G$3=1,C36,KÄYTTÖTAULU!$B$13)</f>
        <v>2534.52</v>
      </c>
      <c r="F36" s="11">
        <f>IF('muut muuttujat'!$G$3=1,D36,KÄYTTÖTAULU!$B$13)</f>
        <v>2510.55</v>
      </c>
      <c r="G36" s="11">
        <f>KÄYTTÖTAULU!$F$6</f>
        <v>0</v>
      </c>
      <c r="H36" s="11">
        <f>KÄYTTÖTAULU!$F$6</f>
        <v>0</v>
      </c>
      <c r="I36" s="11">
        <f t="shared" si="17"/>
        <v>0</v>
      </c>
      <c r="J36" s="11">
        <f aca="true" t="shared" si="21" ref="J36:J89">H36*0.83</f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8"/>
        <v>#DIV/0!</v>
      </c>
      <c r="N36" s="1" t="e">
        <f t="shared" si="19"/>
        <v>#DIV/0!</v>
      </c>
      <c r="O36" s="11"/>
      <c r="P36" s="11"/>
      <c r="Q36" s="11"/>
      <c r="R36" s="24">
        <v>0</v>
      </c>
      <c r="S36" s="25">
        <v>4</v>
      </c>
      <c r="T36" s="25">
        <v>3</v>
      </c>
      <c r="U36" s="25">
        <v>6</v>
      </c>
      <c r="V36" s="25">
        <v>6</v>
      </c>
      <c r="W36" s="49">
        <v>6</v>
      </c>
      <c r="X36" s="25">
        <v>1</v>
      </c>
      <c r="Y36" s="25">
        <f t="shared" si="0"/>
        <v>1.04</v>
      </c>
      <c r="Z36" s="25">
        <f t="shared" si="1"/>
        <v>1.0712000000000002</v>
      </c>
      <c r="AA36" s="25">
        <f t="shared" si="2"/>
        <v>1.1354720000000003</v>
      </c>
      <c r="AB36" s="25">
        <f t="shared" si="20"/>
        <v>1.2036003200000003</v>
      </c>
      <c r="AC36" s="49">
        <f t="shared" si="4"/>
        <v>1.2758163392000004</v>
      </c>
      <c r="AE36" s="1">
        <v>0</v>
      </c>
      <c r="AF36" s="1">
        <v>4</v>
      </c>
      <c r="AG36" s="1">
        <v>4</v>
      </c>
      <c r="AH36" s="1">
        <v>6</v>
      </c>
      <c r="AI36" s="1">
        <v>6</v>
      </c>
      <c r="AJ36" s="1">
        <v>6</v>
      </c>
      <c r="AL36" s="1">
        <f t="shared" si="3"/>
        <v>1</v>
      </c>
    </row>
    <row r="37" spans="1:38" ht="12.75">
      <c r="A37" s="1">
        <v>32</v>
      </c>
      <c r="B37" s="10" t="s">
        <v>252</v>
      </c>
      <c r="C37" s="191">
        <f>VLOOKUP(MID(B37,1,8)-0,'1.6.2023'!$B$9:$G$160,3,FALSE)</f>
        <v>2426.02</v>
      </c>
      <c r="D37" s="191">
        <f>VLOOKUP(MID(B37,1,8)-0,'1.6.2023'!$B$9:$G$160,5,FALSE)</f>
        <v>2403.08</v>
      </c>
      <c r="E37" s="11">
        <f>IF('muut muuttujat'!$G$3=1,C37,KÄYTTÖTAULU!$B$13)</f>
        <v>2426.02</v>
      </c>
      <c r="F37" s="11">
        <f>IF('muut muuttujat'!$G$3=1,D37,KÄYTTÖTAULU!$B$13)</f>
        <v>2403.08</v>
      </c>
      <c r="G37" s="11">
        <f>KÄYTTÖTAULU!$F$6</f>
        <v>0</v>
      </c>
      <c r="H37" s="11">
        <f>KÄYTTÖTAULU!$F$6</f>
        <v>0</v>
      </c>
      <c r="I37" s="11">
        <f t="shared" si="17"/>
        <v>0</v>
      </c>
      <c r="J37" s="11">
        <f t="shared" si="21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8"/>
        <v>#DIV/0!</v>
      </c>
      <c r="N37" s="1" t="e">
        <f t="shared" si="19"/>
        <v>#DIV/0!</v>
      </c>
      <c r="O37" s="11"/>
      <c r="P37" s="11"/>
      <c r="Q37" s="11"/>
      <c r="R37" s="24">
        <v>0</v>
      </c>
      <c r="S37" s="25">
        <v>4</v>
      </c>
      <c r="T37" s="25">
        <v>3</v>
      </c>
      <c r="U37" s="25">
        <v>6</v>
      </c>
      <c r="V37" s="25">
        <v>6</v>
      </c>
      <c r="W37" s="49">
        <v>6</v>
      </c>
      <c r="X37" s="25">
        <v>1</v>
      </c>
      <c r="Y37" s="25">
        <f t="shared" si="0"/>
        <v>1.04</v>
      </c>
      <c r="Z37" s="25">
        <f t="shared" si="1"/>
        <v>1.0712000000000002</v>
      </c>
      <c r="AA37" s="25">
        <f t="shared" si="2"/>
        <v>1.1354720000000003</v>
      </c>
      <c r="AB37" s="25">
        <f t="shared" si="20"/>
        <v>1.2036003200000003</v>
      </c>
      <c r="AC37" s="49">
        <f t="shared" si="4"/>
        <v>1.2758163392000004</v>
      </c>
      <c r="AE37" s="1">
        <v>0</v>
      </c>
      <c r="AF37" s="1">
        <v>4</v>
      </c>
      <c r="AG37" s="1">
        <v>4</v>
      </c>
      <c r="AH37" s="1">
        <v>6</v>
      </c>
      <c r="AI37" s="1">
        <v>6</v>
      </c>
      <c r="AJ37" s="1">
        <v>6</v>
      </c>
      <c r="AL37" s="1">
        <f t="shared" si="3"/>
        <v>1</v>
      </c>
    </row>
    <row r="38" spans="1:38" ht="12.75">
      <c r="A38" s="1">
        <v>33</v>
      </c>
      <c r="B38" s="10" t="s">
        <v>253</v>
      </c>
      <c r="C38" s="191">
        <f>VLOOKUP(MID(B38,1,8)-0,'1.6.2023'!$B$9:$G$160,3,FALSE)</f>
        <v>2295.01</v>
      </c>
      <c r="D38" s="191">
        <f>VLOOKUP(MID(B38,1,8)-0,'1.6.2023'!$B$9:$G$160,5,FALSE)</f>
        <v>2273.76</v>
      </c>
      <c r="E38" s="11">
        <f>IF('muut muuttujat'!$G$3=1,C38,KÄYTTÖTAULU!$B$13)</f>
        <v>2295.01</v>
      </c>
      <c r="F38" s="11">
        <f>IF('muut muuttujat'!$G$3=1,D38,KÄYTTÖTAULU!$B$13)</f>
        <v>2273.76</v>
      </c>
      <c r="G38" s="11">
        <f>KÄYTTÖTAULU!$F$6</f>
        <v>0</v>
      </c>
      <c r="H38" s="11">
        <f>KÄYTTÖTAULU!$F$6</f>
        <v>0</v>
      </c>
      <c r="I38" s="11">
        <f t="shared" si="17"/>
        <v>0</v>
      </c>
      <c r="J38" s="11">
        <f t="shared" si="21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8"/>
        <v>#DIV/0!</v>
      </c>
      <c r="N38" s="1" t="e">
        <f t="shared" si="19"/>
        <v>#DIV/0!</v>
      </c>
      <c r="O38" s="11"/>
      <c r="P38" s="11"/>
      <c r="Q38" s="11"/>
      <c r="R38" s="24">
        <v>0</v>
      </c>
      <c r="S38" s="25">
        <v>4</v>
      </c>
      <c r="T38" s="25">
        <v>3</v>
      </c>
      <c r="U38" s="25">
        <v>6</v>
      </c>
      <c r="V38" s="25">
        <v>6</v>
      </c>
      <c r="W38" s="49">
        <v>6</v>
      </c>
      <c r="X38" s="25">
        <v>1</v>
      </c>
      <c r="Y38" s="25">
        <f t="shared" si="0"/>
        <v>1.04</v>
      </c>
      <c r="Z38" s="25">
        <f t="shared" si="1"/>
        <v>1.0712000000000002</v>
      </c>
      <c r="AA38" s="25">
        <f t="shared" si="2"/>
        <v>1.1354720000000003</v>
      </c>
      <c r="AB38" s="25">
        <f t="shared" si="20"/>
        <v>1.2036003200000003</v>
      </c>
      <c r="AC38" s="49">
        <f t="shared" si="4"/>
        <v>1.2758163392000004</v>
      </c>
      <c r="AE38" s="1">
        <v>0</v>
      </c>
      <c r="AF38" s="1">
        <v>4</v>
      </c>
      <c r="AG38" s="1">
        <v>4</v>
      </c>
      <c r="AH38" s="1">
        <v>6</v>
      </c>
      <c r="AI38" s="1">
        <v>6</v>
      </c>
      <c r="AJ38" s="1">
        <v>6</v>
      </c>
      <c r="AL38" s="1">
        <f t="shared" si="3"/>
        <v>1</v>
      </c>
    </row>
    <row r="39" spans="1:38" ht="12.75">
      <c r="A39" s="1">
        <v>34</v>
      </c>
      <c r="B39" s="10" t="s">
        <v>254</v>
      </c>
      <c r="C39" s="191">
        <f>VLOOKUP(MID(B39,1,8)-0,'1.6.2023'!$B$9:$G$160,3,FALSE)</f>
        <v>3123.13</v>
      </c>
      <c r="D39" s="191">
        <f>VLOOKUP(MID(B39,1,8)-0,'1.6.2023'!$B$9:$G$160,5,FALSE)</f>
        <v>3093.59</v>
      </c>
      <c r="E39" s="11">
        <f>IF('muut muuttujat'!$G$3=1,C39,KÄYTTÖTAULU!$B$13)</f>
        <v>3123.13</v>
      </c>
      <c r="F39" s="11">
        <f>IF('muut muuttujat'!$G$3=1,D39,KÄYTTÖTAULU!$B$13)</f>
        <v>3093.59</v>
      </c>
      <c r="G39" s="11">
        <f>KÄYTTÖTAULU!$F$6</f>
        <v>0</v>
      </c>
      <c r="H39" s="11">
        <f>KÄYTTÖTAULU!$F$6</f>
        <v>0</v>
      </c>
      <c r="I39" s="11">
        <f t="shared" si="17"/>
        <v>0</v>
      </c>
      <c r="J39" s="11">
        <f t="shared" si="21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8"/>
        <v>#DIV/0!</v>
      </c>
      <c r="N39" s="1" t="e">
        <f t="shared" si="19"/>
        <v>#DIV/0!</v>
      </c>
      <c r="O39" s="11"/>
      <c r="P39" s="11"/>
      <c r="Q39" s="11"/>
      <c r="R39" s="24">
        <v>0</v>
      </c>
      <c r="S39" s="25">
        <v>4</v>
      </c>
      <c r="T39" s="25">
        <v>3</v>
      </c>
      <c r="U39" s="25">
        <v>6</v>
      </c>
      <c r="V39" s="25">
        <v>6</v>
      </c>
      <c r="W39" s="49">
        <v>6</v>
      </c>
      <c r="X39" s="25">
        <v>1</v>
      </c>
      <c r="Y39" s="25">
        <f t="shared" si="0"/>
        <v>1.04</v>
      </c>
      <c r="Z39" s="25">
        <f t="shared" si="1"/>
        <v>1.0712000000000002</v>
      </c>
      <c r="AA39" s="25">
        <f t="shared" si="2"/>
        <v>1.1354720000000003</v>
      </c>
      <c r="AB39" s="25">
        <f t="shared" si="20"/>
        <v>1.2036003200000003</v>
      </c>
      <c r="AC39" s="49">
        <f t="shared" si="4"/>
        <v>1.2758163392000004</v>
      </c>
      <c r="AE39" s="1">
        <v>0</v>
      </c>
      <c r="AF39" s="1">
        <v>4</v>
      </c>
      <c r="AG39" s="1">
        <v>4</v>
      </c>
      <c r="AH39" s="1">
        <v>6</v>
      </c>
      <c r="AI39" s="1">
        <v>6</v>
      </c>
      <c r="AJ39" s="1">
        <v>6</v>
      </c>
      <c r="AL39" s="1">
        <f t="shared" si="3"/>
        <v>1</v>
      </c>
    </row>
    <row r="40" spans="1:38" ht="12.75">
      <c r="A40" s="1">
        <v>35</v>
      </c>
      <c r="B40" s="10" t="s">
        <v>255</v>
      </c>
      <c r="C40" s="191">
        <f>VLOOKUP(MID(B40,1,8)-0,'1.6.2023'!$B$9:$G$160,3,FALSE)</f>
        <v>3013.93</v>
      </c>
      <c r="D40" s="191">
        <f>VLOOKUP(MID(B40,1,8)-0,'1.6.2023'!$B$9:$G$160,5,FALSE)</f>
        <v>2985.41</v>
      </c>
      <c r="E40" s="11">
        <f>IF('muut muuttujat'!$G$3=1,C40,KÄYTTÖTAULU!$B$13)</f>
        <v>3013.93</v>
      </c>
      <c r="F40" s="11">
        <f>IF('muut muuttujat'!$G$3=1,D40,KÄYTTÖTAULU!$B$13)</f>
        <v>2985.41</v>
      </c>
      <c r="G40" s="11">
        <f>KÄYTTÖTAULU!$F$6</f>
        <v>0</v>
      </c>
      <c r="H40" s="11">
        <f>KÄYTTÖTAULU!$F$6</f>
        <v>0</v>
      </c>
      <c r="I40" s="11">
        <f t="shared" si="17"/>
        <v>0</v>
      </c>
      <c r="J40" s="11">
        <f t="shared" si="21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8"/>
        <v>#DIV/0!</v>
      </c>
      <c r="N40" s="1" t="e">
        <f t="shared" si="19"/>
        <v>#DIV/0!</v>
      </c>
      <c r="O40" s="11"/>
      <c r="P40" s="11"/>
      <c r="Q40" s="11"/>
      <c r="R40" s="24">
        <v>0</v>
      </c>
      <c r="S40" s="25">
        <v>4</v>
      </c>
      <c r="T40" s="25">
        <v>3</v>
      </c>
      <c r="U40" s="25">
        <v>6</v>
      </c>
      <c r="V40" s="25">
        <v>6</v>
      </c>
      <c r="W40" s="49">
        <v>6</v>
      </c>
      <c r="X40" s="25">
        <v>1</v>
      </c>
      <c r="Y40" s="25">
        <f t="shared" si="0"/>
        <v>1.04</v>
      </c>
      <c r="Z40" s="25">
        <f t="shared" si="1"/>
        <v>1.0712000000000002</v>
      </c>
      <c r="AA40" s="25">
        <f t="shared" si="2"/>
        <v>1.1354720000000003</v>
      </c>
      <c r="AB40" s="25">
        <f t="shared" si="20"/>
        <v>1.2036003200000003</v>
      </c>
      <c r="AC40" s="49">
        <f t="shared" si="4"/>
        <v>1.2758163392000004</v>
      </c>
      <c r="AE40" s="1">
        <v>0</v>
      </c>
      <c r="AF40" s="1">
        <v>4</v>
      </c>
      <c r="AG40" s="1">
        <v>4</v>
      </c>
      <c r="AH40" s="1">
        <v>6</v>
      </c>
      <c r="AI40" s="1">
        <v>6</v>
      </c>
      <c r="AJ40" s="1">
        <v>6</v>
      </c>
      <c r="AL40" s="1">
        <f t="shared" si="3"/>
        <v>1</v>
      </c>
    </row>
    <row r="41" spans="1:38" ht="12.75">
      <c r="A41" s="1">
        <v>36</v>
      </c>
      <c r="B41" s="10" t="s">
        <v>256</v>
      </c>
      <c r="C41" s="191">
        <f>VLOOKUP(MID(B41,1,8)-0,'1.6.2023'!$B$9:$G$160,3,FALSE)</f>
        <v>2917.31</v>
      </c>
      <c r="D41" s="191">
        <f>VLOOKUP(MID(B41,1,8)-0,'1.6.2023'!$B$9:$G$160,5,FALSE)</f>
        <v>2889.69</v>
      </c>
      <c r="E41" s="11">
        <f>IF('muut muuttujat'!$G$3=1,C41,KÄYTTÖTAULU!$B$13)</f>
        <v>2917.31</v>
      </c>
      <c r="F41" s="11">
        <f>IF('muut muuttujat'!$G$3=1,D41,KÄYTTÖTAULU!$B$13)</f>
        <v>2889.69</v>
      </c>
      <c r="G41" s="11">
        <f>KÄYTTÖTAULU!$F$6</f>
        <v>0</v>
      </c>
      <c r="H41" s="11">
        <f>KÄYTTÖTAULU!$F$6</f>
        <v>0</v>
      </c>
      <c r="I41" s="11">
        <f t="shared" si="17"/>
        <v>0</v>
      </c>
      <c r="J41" s="11">
        <f t="shared" si="21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8"/>
        <v>#DIV/0!</v>
      </c>
      <c r="N41" s="1" t="e">
        <f t="shared" si="19"/>
        <v>#DIV/0!</v>
      </c>
      <c r="O41" s="11"/>
      <c r="P41" s="11"/>
      <c r="Q41" s="11"/>
      <c r="R41" s="24">
        <v>0</v>
      </c>
      <c r="S41" s="25">
        <v>4</v>
      </c>
      <c r="T41" s="25">
        <v>3</v>
      </c>
      <c r="U41" s="25">
        <v>6</v>
      </c>
      <c r="V41" s="25">
        <v>6</v>
      </c>
      <c r="W41" s="49">
        <v>6</v>
      </c>
      <c r="X41" s="25">
        <v>1</v>
      </c>
      <c r="Y41" s="25">
        <f t="shared" si="0"/>
        <v>1.04</v>
      </c>
      <c r="Z41" s="25">
        <f t="shared" si="1"/>
        <v>1.0712000000000002</v>
      </c>
      <c r="AA41" s="25">
        <f t="shared" si="2"/>
        <v>1.1354720000000003</v>
      </c>
      <c r="AB41" s="25">
        <f t="shared" si="20"/>
        <v>1.2036003200000003</v>
      </c>
      <c r="AC41" s="49">
        <f t="shared" si="4"/>
        <v>1.2758163392000004</v>
      </c>
      <c r="AE41" s="1">
        <v>0</v>
      </c>
      <c r="AF41" s="1">
        <v>4</v>
      </c>
      <c r="AG41" s="1">
        <v>4</v>
      </c>
      <c r="AH41" s="1">
        <v>6</v>
      </c>
      <c r="AI41" s="1">
        <v>6</v>
      </c>
      <c r="AJ41" s="1">
        <v>6</v>
      </c>
      <c r="AL41" s="1">
        <f t="shared" si="3"/>
        <v>1</v>
      </c>
    </row>
    <row r="42" spans="1:38" ht="12.75">
      <c r="A42" s="1">
        <v>37</v>
      </c>
      <c r="B42" s="10" t="s">
        <v>257</v>
      </c>
      <c r="C42" s="191">
        <f>VLOOKUP(MID(B42,1,8)-0,'1.6.2023'!$B$9:$G$160,3,FALSE)</f>
        <v>2871.82</v>
      </c>
      <c r="D42" s="191">
        <f>VLOOKUP(MID(B42,1,8)-0,'1.6.2023'!$B$9:$G$160,5,FALSE)</f>
        <v>2844.68</v>
      </c>
      <c r="E42" s="11">
        <f>IF('muut muuttujat'!$G$3=1,C42,KÄYTTÖTAULU!$B$13)</f>
        <v>2871.82</v>
      </c>
      <c r="F42" s="11">
        <f>IF('muut muuttujat'!$G$3=1,D42,KÄYTTÖTAULU!$B$13)</f>
        <v>2844.68</v>
      </c>
      <c r="G42" s="11">
        <f>KÄYTTÖTAULU!$F$6</f>
        <v>0</v>
      </c>
      <c r="H42" s="11">
        <f>KÄYTTÖTAULU!$F$6</f>
        <v>0</v>
      </c>
      <c r="I42" s="11">
        <f t="shared" si="17"/>
        <v>0</v>
      </c>
      <c r="J42" s="11">
        <f t="shared" si="21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8"/>
        <v>#DIV/0!</v>
      </c>
      <c r="N42" s="1" t="e">
        <f t="shared" si="19"/>
        <v>#DIV/0!</v>
      </c>
      <c r="O42" s="11"/>
      <c r="P42" s="11"/>
      <c r="Q42" s="11"/>
      <c r="R42" s="24">
        <v>0</v>
      </c>
      <c r="S42" s="25">
        <v>4</v>
      </c>
      <c r="T42" s="25">
        <v>3</v>
      </c>
      <c r="U42" s="25">
        <v>6</v>
      </c>
      <c r="V42" s="25">
        <v>6</v>
      </c>
      <c r="W42" s="49">
        <v>6</v>
      </c>
      <c r="X42" s="25">
        <v>1</v>
      </c>
      <c r="Y42" s="25">
        <f t="shared" si="0"/>
        <v>1.04</v>
      </c>
      <c r="Z42" s="25">
        <f t="shared" si="1"/>
        <v>1.0712000000000002</v>
      </c>
      <c r="AA42" s="25">
        <f t="shared" si="2"/>
        <v>1.1354720000000003</v>
      </c>
      <c r="AB42" s="25">
        <f t="shared" si="20"/>
        <v>1.2036003200000003</v>
      </c>
      <c r="AC42" s="49">
        <f t="shared" si="4"/>
        <v>1.2758163392000004</v>
      </c>
      <c r="AE42" s="1">
        <v>0</v>
      </c>
      <c r="AF42" s="1">
        <v>4</v>
      </c>
      <c r="AG42" s="1">
        <v>4</v>
      </c>
      <c r="AH42" s="1">
        <v>6</v>
      </c>
      <c r="AI42" s="1">
        <v>6</v>
      </c>
      <c r="AJ42" s="1">
        <v>6</v>
      </c>
      <c r="AL42" s="1">
        <f t="shared" si="3"/>
        <v>1</v>
      </c>
    </row>
    <row r="43" spans="1:38" ht="12.75">
      <c r="A43" s="1">
        <v>38</v>
      </c>
      <c r="B43" s="10" t="s">
        <v>258</v>
      </c>
      <c r="C43" s="191">
        <f>VLOOKUP(MID(B43,1,8)-0,'1.6.2023'!$B$9:$G$160,3,FALSE)</f>
        <v>2752.38</v>
      </c>
      <c r="D43" s="191">
        <f>VLOOKUP(MID(B43,1,8)-0,'1.6.2023'!$B$9:$G$160,5,FALSE)</f>
        <v>2726.4</v>
      </c>
      <c r="E43" s="11">
        <f>IF('muut muuttujat'!$G$3=1,C43,KÄYTTÖTAULU!$B$13)</f>
        <v>2752.38</v>
      </c>
      <c r="F43" s="11">
        <f>IF('muut muuttujat'!$G$3=1,D43,KÄYTTÖTAULU!$B$13)</f>
        <v>2726.4</v>
      </c>
      <c r="G43" s="11">
        <f>KÄYTTÖTAULU!$F$6</f>
        <v>0</v>
      </c>
      <c r="H43" s="11">
        <f>KÄYTTÖTAULU!$F$6</f>
        <v>0</v>
      </c>
      <c r="I43" s="11">
        <f t="shared" si="17"/>
        <v>0</v>
      </c>
      <c r="J43" s="11">
        <f t="shared" si="21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8"/>
        <v>#DIV/0!</v>
      </c>
      <c r="N43" s="1" t="e">
        <f t="shared" si="19"/>
        <v>#DIV/0!</v>
      </c>
      <c r="O43" s="11"/>
      <c r="P43" s="11"/>
      <c r="Q43" s="11"/>
      <c r="R43" s="24">
        <v>0</v>
      </c>
      <c r="S43" s="25">
        <v>4</v>
      </c>
      <c r="T43" s="25">
        <v>3</v>
      </c>
      <c r="U43" s="25">
        <v>6</v>
      </c>
      <c r="V43" s="25">
        <v>6</v>
      </c>
      <c r="W43" s="49">
        <v>6</v>
      </c>
      <c r="X43" s="25">
        <v>1</v>
      </c>
      <c r="Y43" s="25">
        <f t="shared" si="0"/>
        <v>1.04</v>
      </c>
      <c r="Z43" s="25">
        <f t="shared" si="1"/>
        <v>1.0712000000000002</v>
      </c>
      <c r="AA43" s="25">
        <f t="shared" si="2"/>
        <v>1.1354720000000003</v>
      </c>
      <c r="AB43" s="25">
        <f t="shared" si="20"/>
        <v>1.2036003200000003</v>
      </c>
      <c r="AC43" s="49">
        <f t="shared" si="4"/>
        <v>1.2758163392000004</v>
      </c>
      <c r="AE43" s="1">
        <v>0</v>
      </c>
      <c r="AF43" s="1">
        <v>4</v>
      </c>
      <c r="AG43" s="1">
        <v>4</v>
      </c>
      <c r="AH43" s="1">
        <v>6</v>
      </c>
      <c r="AI43" s="1">
        <v>6</v>
      </c>
      <c r="AJ43" s="1">
        <v>6</v>
      </c>
      <c r="AL43" s="1">
        <f t="shared" si="3"/>
        <v>1</v>
      </c>
    </row>
    <row r="44" spans="1:38" ht="12.75">
      <c r="A44" s="1">
        <v>39</v>
      </c>
      <c r="B44" s="10" t="s">
        <v>259</v>
      </c>
      <c r="C44" s="191">
        <f>VLOOKUP(MID(B44,1,8)-0,'1.6.2023'!$B$9:$G$160,3,FALSE)</f>
        <v>2405.68</v>
      </c>
      <c r="D44" s="191">
        <f>VLOOKUP(MID(B44,1,8)-0,'1.6.2023'!$B$9:$G$160,5,FALSE)</f>
        <v>2383.18</v>
      </c>
      <c r="E44" s="11">
        <f>IF('muut muuttujat'!$G$3=1,C44,KÄYTTÖTAULU!$B$13)</f>
        <v>2405.68</v>
      </c>
      <c r="F44" s="11">
        <f>IF('muut muuttujat'!$G$3=1,D44,KÄYTTÖTAULU!$B$13)</f>
        <v>2383.18</v>
      </c>
      <c r="G44" s="11">
        <f>KÄYTTÖTAULU!$F$6</f>
        <v>0</v>
      </c>
      <c r="H44" s="11">
        <f>KÄYTTÖTAULU!$F$6</f>
        <v>0</v>
      </c>
      <c r="I44" s="11">
        <f t="shared" si="17"/>
        <v>0</v>
      </c>
      <c r="J44" s="11">
        <f t="shared" si="21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8"/>
        <v>#DIV/0!</v>
      </c>
      <c r="N44" s="1" t="e">
        <f t="shared" si="19"/>
        <v>#DIV/0!</v>
      </c>
      <c r="O44" s="11"/>
      <c r="P44" s="11"/>
      <c r="Q44" s="11"/>
      <c r="R44" s="24">
        <v>0</v>
      </c>
      <c r="S44" s="25">
        <v>4</v>
      </c>
      <c r="T44" s="25">
        <v>3</v>
      </c>
      <c r="U44" s="25">
        <v>6</v>
      </c>
      <c r="V44" s="25">
        <v>6</v>
      </c>
      <c r="W44" s="49">
        <v>6</v>
      </c>
      <c r="X44" s="25">
        <v>1</v>
      </c>
      <c r="Y44" s="25">
        <f t="shared" si="0"/>
        <v>1.04</v>
      </c>
      <c r="Z44" s="25">
        <f t="shared" si="1"/>
        <v>1.0712000000000002</v>
      </c>
      <c r="AA44" s="25">
        <f t="shared" si="2"/>
        <v>1.1354720000000003</v>
      </c>
      <c r="AB44" s="25">
        <f t="shared" si="20"/>
        <v>1.2036003200000003</v>
      </c>
      <c r="AC44" s="49">
        <f t="shared" si="4"/>
        <v>1.2758163392000004</v>
      </c>
      <c r="AE44" s="1">
        <v>0</v>
      </c>
      <c r="AF44" s="1">
        <v>4</v>
      </c>
      <c r="AG44" s="1">
        <v>4</v>
      </c>
      <c r="AH44" s="1">
        <v>6</v>
      </c>
      <c r="AI44" s="1">
        <v>6</v>
      </c>
      <c r="AJ44" s="1">
        <v>6</v>
      </c>
      <c r="AL44" s="1">
        <f t="shared" si="3"/>
        <v>1</v>
      </c>
    </row>
    <row r="45" spans="1:38" ht="12.75">
      <c r="A45" s="1">
        <v>40</v>
      </c>
      <c r="B45" s="10" t="s">
        <v>260</v>
      </c>
      <c r="C45" s="191">
        <f>VLOOKUP(MID(B45,1,8)-0,'1.6.2023'!$B$9:$G$160,3,FALSE)</f>
        <v>3101.59</v>
      </c>
      <c r="D45" s="191">
        <f>VLOOKUP(MID(B45,1,8)-0,'1.6.2023'!$B$9:$G$160,5,FALSE)</f>
        <v>3072.25</v>
      </c>
      <c r="E45" s="11">
        <f>IF('muut muuttujat'!$G$3=1,C45,KÄYTTÖTAULU!$B$13)</f>
        <v>3101.59</v>
      </c>
      <c r="F45" s="11">
        <f>IF('muut muuttujat'!$G$3=1,D45,KÄYTTÖTAULU!$B$13)</f>
        <v>3072.25</v>
      </c>
      <c r="G45" s="11">
        <f>KÄYTTÖTAULU!$F$6</f>
        <v>0</v>
      </c>
      <c r="H45" s="11">
        <f>KÄYTTÖTAULU!$F$6</f>
        <v>0</v>
      </c>
      <c r="I45" s="11">
        <f t="shared" si="17"/>
        <v>0</v>
      </c>
      <c r="J45" s="11">
        <f t="shared" si="21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8"/>
        <v>#DIV/0!</v>
      </c>
      <c r="N45" s="1" t="e">
        <f t="shared" si="19"/>
        <v>#DIV/0!</v>
      </c>
      <c r="O45" s="11"/>
      <c r="P45" s="11"/>
      <c r="Q45" s="11"/>
      <c r="R45" s="24">
        <v>0</v>
      </c>
      <c r="S45" s="25">
        <v>4</v>
      </c>
      <c r="T45" s="25">
        <v>3</v>
      </c>
      <c r="U45" s="25">
        <v>6</v>
      </c>
      <c r="V45" s="25">
        <v>6</v>
      </c>
      <c r="W45" s="49">
        <v>6</v>
      </c>
      <c r="X45" s="25">
        <v>1</v>
      </c>
      <c r="Y45" s="25">
        <f t="shared" si="0"/>
        <v>1.04</v>
      </c>
      <c r="Z45" s="25">
        <f t="shared" si="1"/>
        <v>1.0712000000000002</v>
      </c>
      <c r="AA45" s="25">
        <f t="shared" si="2"/>
        <v>1.1354720000000003</v>
      </c>
      <c r="AB45" s="25">
        <f t="shared" si="20"/>
        <v>1.2036003200000003</v>
      </c>
      <c r="AC45" s="49">
        <f t="shared" si="4"/>
        <v>1.2758163392000004</v>
      </c>
      <c r="AE45" s="1">
        <v>0</v>
      </c>
      <c r="AF45" s="1">
        <v>4</v>
      </c>
      <c r="AG45" s="1">
        <v>4</v>
      </c>
      <c r="AH45" s="1">
        <v>6</v>
      </c>
      <c r="AI45" s="1">
        <v>6</v>
      </c>
      <c r="AJ45" s="1">
        <v>6</v>
      </c>
      <c r="AL45" s="1">
        <f t="shared" si="3"/>
        <v>1</v>
      </c>
    </row>
    <row r="46" spans="1:38" ht="12.75">
      <c r="A46" s="1">
        <v>41</v>
      </c>
      <c r="B46" s="10" t="s">
        <v>261</v>
      </c>
      <c r="C46" s="191">
        <f>VLOOKUP(MID(B46,1,8)-0,'1.6.2023'!$B$9:$G$160,3,FALSE)</f>
        <v>2887.34</v>
      </c>
      <c r="D46" s="191">
        <f>VLOOKUP(MID(B46,1,8)-0,'1.6.2023'!$B$9:$G$160,5,FALSE)</f>
        <v>2860.05</v>
      </c>
      <c r="E46" s="11">
        <f>IF('muut muuttujat'!$G$3=1,C46,KÄYTTÖTAULU!$B$13)</f>
        <v>2887.34</v>
      </c>
      <c r="F46" s="11">
        <f>IF('muut muuttujat'!$G$3=1,D46,KÄYTTÖTAULU!$B$13)</f>
        <v>2860.05</v>
      </c>
      <c r="G46" s="11">
        <f>KÄYTTÖTAULU!$F$6</f>
        <v>0</v>
      </c>
      <c r="H46" s="11">
        <f>KÄYTTÖTAULU!$F$6</f>
        <v>0</v>
      </c>
      <c r="I46" s="11">
        <f t="shared" si="17"/>
        <v>0</v>
      </c>
      <c r="J46" s="11">
        <f t="shared" si="21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8"/>
        <v>#DIV/0!</v>
      </c>
      <c r="N46" s="1" t="e">
        <f t="shared" si="19"/>
        <v>#DIV/0!</v>
      </c>
      <c r="O46" s="11"/>
      <c r="P46" s="11"/>
      <c r="Q46" s="11"/>
      <c r="R46" s="24">
        <v>0</v>
      </c>
      <c r="S46" s="25">
        <v>4</v>
      </c>
      <c r="T46" s="25">
        <v>3</v>
      </c>
      <c r="U46" s="25">
        <v>6</v>
      </c>
      <c r="V46" s="25">
        <v>6</v>
      </c>
      <c r="W46" s="49">
        <v>6</v>
      </c>
      <c r="X46" s="25">
        <v>1</v>
      </c>
      <c r="Y46" s="25">
        <f t="shared" si="0"/>
        <v>1.04</v>
      </c>
      <c r="Z46" s="25">
        <f t="shared" si="1"/>
        <v>1.0712000000000002</v>
      </c>
      <c r="AA46" s="25">
        <f t="shared" si="2"/>
        <v>1.1354720000000003</v>
      </c>
      <c r="AB46" s="25">
        <f t="shared" si="20"/>
        <v>1.2036003200000003</v>
      </c>
      <c r="AC46" s="49">
        <f t="shared" si="4"/>
        <v>1.2758163392000004</v>
      </c>
      <c r="AE46" s="1">
        <v>0</v>
      </c>
      <c r="AF46" s="1">
        <v>4</v>
      </c>
      <c r="AG46" s="1">
        <v>4</v>
      </c>
      <c r="AH46" s="1">
        <v>6</v>
      </c>
      <c r="AI46" s="1">
        <v>6</v>
      </c>
      <c r="AJ46" s="1">
        <v>6</v>
      </c>
      <c r="AL46" s="1">
        <f t="shared" si="3"/>
        <v>1</v>
      </c>
    </row>
    <row r="47" spans="1:38" ht="12.75">
      <c r="A47" s="1">
        <v>42</v>
      </c>
      <c r="B47" s="10" t="s">
        <v>262</v>
      </c>
      <c r="C47" s="191">
        <f>VLOOKUP(MID(B47,1,8)-0,'1.6.2023'!$B$9:$G$160,3,FALSE)</f>
        <v>2779.12</v>
      </c>
      <c r="D47" s="191">
        <f>VLOOKUP(MID(B47,1,8)-0,'1.6.2023'!$B$9:$G$160,5,FALSE)</f>
        <v>2752.82</v>
      </c>
      <c r="E47" s="11">
        <f>IF('muut muuttujat'!$G$3=1,C47,KÄYTTÖTAULU!$B$13)</f>
        <v>2779.12</v>
      </c>
      <c r="F47" s="11">
        <f>IF('muut muuttujat'!$G$3=1,D47,KÄYTTÖTAULU!$B$13)</f>
        <v>2752.82</v>
      </c>
      <c r="G47" s="11">
        <f>KÄYTTÖTAULU!$F$6</f>
        <v>0</v>
      </c>
      <c r="H47" s="11">
        <f>KÄYTTÖTAULU!$F$6</f>
        <v>0</v>
      </c>
      <c r="I47" s="11">
        <f t="shared" si="17"/>
        <v>0</v>
      </c>
      <c r="J47" s="11">
        <f t="shared" si="21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8"/>
        <v>#DIV/0!</v>
      </c>
      <c r="N47" s="1" t="e">
        <f t="shared" si="19"/>
        <v>#DIV/0!</v>
      </c>
      <c r="O47" s="11"/>
      <c r="P47" s="11"/>
      <c r="Q47" s="11"/>
      <c r="R47" s="24">
        <v>0</v>
      </c>
      <c r="S47" s="25">
        <v>4</v>
      </c>
      <c r="T47" s="25">
        <v>3</v>
      </c>
      <c r="U47" s="25">
        <v>6</v>
      </c>
      <c r="V47" s="25">
        <v>6</v>
      </c>
      <c r="W47" s="49">
        <v>6</v>
      </c>
      <c r="X47" s="25">
        <v>1</v>
      </c>
      <c r="Y47" s="25">
        <f t="shared" si="0"/>
        <v>1.04</v>
      </c>
      <c r="Z47" s="25">
        <f t="shared" si="1"/>
        <v>1.0712000000000002</v>
      </c>
      <c r="AA47" s="25">
        <f t="shared" si="2"/>
        <v>1.1354720000000003</v>
      </c>
      <c r="AB47" s="25">
        <f t="shared" si="20"/>
        <v>1.2036003200000003</v>
      </c>
      <c r="AC47" s="49">
        <f t="shared" si="4"/>
        <v>1.2758163392000004</v>
      </c>
      <c r="AE47" s="1">
        <v>0</v>
      </c>
      <c r="AF47" s="1">
        <v>4</v>
      </c>
      <c r="AG47" s="1">
        <v>4</v>
      </c>
      <c r="AH47" s="1">
        <v>6</v>
      </c>
      <c r="AI47" s="1">
        <v>6</v>
      </c>
      <c r="AJ47" s="1">
        <v>6</v>
      </c>
      <c r="AL47" s="1">
        <f t="shared" si="3"/>
        <v>1</v>
      </c>
    </row>
    <row r="48" spans="1:38" ht="12.75">
      <c r="A48" s="1">
        <v>43</v>
      </c>
      <c r="B48" s="10" t="s">
        <v>497</v>
      </c>
      <c r="C48" s="191">
        <f>VLOOKUP(MID(B48,1,8)-0,'1.6.2023'!$B$9:$G$160,3,FALSE)</f>
        <v>2269.85</v>
      </c>
      <c r="D48" s="191">
        <f>VLOOKUP(MID(B48,1,8)-0,'1.6.2023'!$B$9:$G$160,5,FALSE)</f>
        <v>2249.01</v>
      </c>
      <c r="E48" s="11">
        <f>IF('muut muuttujat'!$G$3=1,C48,KÄYTTÖTAULU!$B$13)</f>
        <v>2269.85</v>
      </c>
      <c r="F48" s="11">
        <f>IF('muut muuttujat'!$G$3=1,D48,KÄYTTÖTAULU!$B$13)</f>
        <v>2249.01</v>
      </c>
      <c r="G48" s="11">
        <f>KÄYTTÖTAULU!$F$6</f>
        <v>0</v>
      </c>
      <c r="H48" s="11">
        <f>KÄYTTÖTAULU!$F$6</f>
        <v>0</v>
      </c>
      <c r="I48" s="11">
        <f t="shared" si="17"/>
        <v>0</v>
      </c>
      <c r="J48" s="11">
        <f t="shared" si="21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8"/>
        <v>#DIV/0!</v>
      </c>
      <c r="N48" s="1" t="e">
        <f t="shared" si="19"/>
        <v>#DIV/0!</v>
      </c>
      <c r="O48" s="11"/>
      <c r="P48" s="11"/>
      <c r="Q48" s="11"/>
      <c r="R48" s="24">
        <v>0</v>
      </c>
      <c r="S48" s="25">
        <v>4</v>
      </c>
      <c r="T48" s="25">
        <v>3</v>
      </c>
      <c r="U48" s="25">
        <v>6</v>
      </c>
      <c r="V48" s="25">
        <v>6</v>
      </c>
      <c r="W48" s="49">
        <v>6</v>
      </c>
      <c r="X48" s="25">
        <v>1</v>
      </c>
      <c r="Y48" s="25">
        <f t="shared" si="0"/>
        <v>1.04</v>
      </c>
      <c r="Z48" s="25">
        <f t="shared" si="1"/>
        <v>1.0712000000000002</v>
      </c>
      <c r="AA48" s="25">
        <f t="shared" si="2"/>
        <v>1.1354720000000003</v>
      </c>
      <c r="AB48" s="25">
        <f t="shared" si="20"/>
        <v>1.2036003200000003</v>
      </c>
      <c r="AC48" s="49">
        <f t="shared" si="4"/>
        <v>1.2758163392000004</v>
      </c>
      <c r="AE48" s="1">
        <v>0</v>
      </c>
      <c r="AF48" s="1">
        <v>4</v>
      </c>
      <c r="AG48" s="1">
        <v>4</v>
      </c>
      <c r="AH48" s="1">
        <v>6</v>
      </c>
      <c r="AI48" s="1">
        <v>6</v>
      </c>
      <c r="AJ48" s="1">
        <v>6</v>
      </c>
      <c r="AL48" s="1">
        <f t="shared" si="3"/>
        <v>1</v>
      </c>
    </row>
    <row r="49" spans="1:38" ht="12.75">
      <c r="A49" s="1">
        <v>44</v>
      </c>
      <c r="B49" s="10" t="s">
        <v>263</v>
      </c>
      <c r="C49" s="191">
        <f>VLOOKUP(MID(B49,1,8)-0,'1.6.2023'!$B$9:$G$160,3,FALSE)</f>
        <v>2166.9</v>
      </c>
      <c r="D49" s="191">
        <f>VLOOKUP(MID(B49,1,8)-0,'1.6.2023'!$B$9:$G$160,5,FALSE)</f>
        <v>2147.84</v>
      </c>
      <c r="E49" s="11">
        <f>IF('muut muuttujat'!$G$3=1,C49,KÄYTTÖTAULU!$B$13)</f>
        <v>2166.9</v>
      </c>
      <c r="F49" s="11">
        <f>IF('muut muuttujat'!$G$3=1,D49,KÄYTTÖTAULU!$B$13)</f>
        <v>2147.84</v>
      </c>
      <c r="G49" s="11">
        <f>KÄYTTÖTAULU!$F$6</f>
        <v>0</v>
      </c>
      <c r="H49" s="11">
        <f>KÄYTTÖTAULU!$F$6</f>
        <v>0</v>
      </c>
      <c r="I49" s="11">
        <f t="shared" si="17"/>
        <v>0</v>
      </c>
      <c r="J49" s="11">
        <f t="shared" si="21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8"/>
        <v>#DIV/0!</v>
      </c>
      <c r="N49" s="1" t="e">
        <f t="shared" si="19"/>
        <v>#DIV/0!</v>
      </c>
      <c r="O49" s="11"/>
      <c r="P49" s="11"/>
      <c r="Q49" s="11"/>
      <c r="R49" s="24">
        <v>0</v>
      </c>
      <c r="S49" s="25">
        <v>4</v>
      </c>
      <c r="T49" s="25">
        <v>3</v>
      </c>
      <c r="U49" s="25">
        <v>6</v>
      </c>
      <c r="V49" s="25">
        <v>6</v>
      </c>
      <c r="W49" s="49">
        <v>6</v>
      </c>
      <c r="X49" s="25">
        <v>1</v>
      </c>
      <c r="Y49" s="25">
        <f t="shared" si="0"/>
        <v>1.04</v>
      </c>
      <c r="Z49" s="25">
        <f t="shared" si="1"/>
        <v>1.0712000000000002</v>
      </c>
      <c r="AA49" s="25">
        <f t="shared" si="2"/>
        <v>1.1354720000000003</v>
      </c>
      <c r="AB49" s="25">
        <f t="shared" si="20"/>
        <v>1.2036003200000003</v>
      </c>
      <c r="AC49" s="49">
        <f t="shared" si="4"/>
        <v>1.2758163392000004</v>
      </c>
      <c r="AE49" s="1">
        <v>0</v>
      </c>
      <c r="AF49" s="1">
        <v>4</v>
      </c>
      <c r="AG49" s="1">
        <v>4</v>
      </c>
      <c r="AH49" s="1">
        <v>6</v>
      </c>
      <c r="AI49" s="1">
        <v>6</v>
      </c>
      <c r="AJ49" s="1">
        <v>6</v>
      </c>
      <c r="AL49" s="1">
        <f t="shared" si="3"/>
        <v>1</v>
      </c>
    </row>
    <row r="50" spans="1:38" ht="12.75">
      <c r="A50" s="1">
        <v>45</v>
      </c>
      <c r="B50" s="10" t="s">
        <v>264</v>
      </c>
      <c r="C50" s="191">
        <f>VLOOKUP(MID(B50,1,8)-0,'1.6.2023'!$B$9:$G$160,3,FALSE)</f>
        <v>2491.49</v>
      </c>
      <c r="D50" s="191">
        <f>VLOOKUP(MID(B50,1,8)-0,'1.6.2023'!$B$9:$G$160,5,FALSE)</f>
        <v>2467.91</v>
      </c>
      <c r="E50" s="11">
        <f>IF('muut muuttujat'!$G$3=1,C50,KÄYTTÖTAULU!$B$13)</f>
        <v>2491.49</v>
      </c>
      <c r="F50" s="11">
        <f>IF('muut muuttujat'!$G$3=1,D50,KÄYTTÖTAULU!$B$13)</f>
        <v>2467.91</v>
      </c>
      <c r="G50" s="11">
        <f>KÄYTTÖTAULU!$F$6</f>
        <v>0</v>
      </c>
      <c r="H50" s="11">
        <f>KÄYTTÖTAULU!$F$6</f>
        <v>0</v>
      </c>
      <c r="I50" s="11">
        <f t="shared" si="17"/>
        <v>0</v>
      </c>
      <c r="J50" s="11">
        <f t="shared" si="21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8"/>
        <v>#DIV/0!</v>
      </c>
      <c r="N50" s="1" t="e">
        <f t="shared" si="19"/>
        <v>#DIV/0!</v>
      </c>
      <c r="O50" s="11"/>
      <c r="P50" s="11"/>
      <c r="Q50" s="11"/>
      <c r="R50" s="24">
        <v>0</v>
      </c>
      <c r="S50" s="25">
        <v>6</v>
      </c>
      <c r="T50" s="25">
        <v>2</v>
      </c>
      <c r="U50" s="25">
        <v>9</v>
      </c>
      <c r="V50" s="25">
        <v>6</v>
      </c>
      <c r="W50" s="49">
        <v>6</v>
      </c>
      <c r="X50" s="25">
        <v>1</v>
      </c>
      <c r="Y50" s="25">
        <f t="shared" si="0"/>
        <v>1.06</v>
      </c>
      <c r="Z50" s="25">
        <f t="shared" si="1"/>
        <v>1.0812000000000002</v>
      </c>
      <c r="AA50" s="25">
        <f t="shared" si="2"/>
        <v>1.1785080000000003</v>
      </c>
      <c r="AB50" s="25">
        <f t="shared" si="20"/>
        <v>1.2492184800000004</v>
      </c>
      <c r="AC50" s="49">
        <f t="shared" si="4"/>
        <v>1.3241715888000005</v>
      </c>
      <c r="AE50" s="1">
        <v>0</v>
      </c>
      <c r="AF50" s="1">
        <v>6</v>
      </c>
      <c r="AG50" s="1">
        <v>3</v>
      </c>
      <c r="AH50" s="1">
        <v>9</v>
      </c>
      <c r="AI50" s="1">
        <v>6</v>
      </c>
      <c r="AJ50" s="1">
        <v>6</v>
      </c>
      <c r="AL50" s="1">
        <f t="shared" si="3"/>
        <v>1</v>
      </c>
    </row>
    <row r="51" spans="1:38" ht="12.75">
      <c r="A51" s="1">
        <v>46</v>
      </c>
      <c r="B51" s="10" t="s">
        <v>498</v>
      </c>
      <c r="C51" s="191">
        <f>VLOOKUP(MID(B51,1,8)-0,'1.6.2023'!$B$9:$G$160,3,FALSE)</f>
        <v>2491.49</v>
      </c>
      <c r="D51" s="191">
        <f>VLOOKUP(MID(B51,1,8)-0,'1.6.2023'!$B$9:$G$160,5,FALSE)</f>
        <v>2467.91</v>
      </c>
      <c r="E51" s="11">
        <f>IF('muut muuttujat'!$G$3=1,C51,KÄYTTÖTAULU!$B$13)</f>
        <v>2491.49</v>
      </c>
      <c r="F51" s="11">
        <f>IF('muut muuttujat'!$G$3=1,D51,KÄYTTÖTAULU!$B$13)</f>
        <v>2467.91</v>
      </c>
      <c r="G51" s="11">
        <f>KÄYTTÖTAULU!$F$6</f>
        <v>0</v>
      </c>
      <c r="H51" s="11">
        <f>KÄYTTÖTAULU!$F$6</f>
        <v>0</v>
      </c>
      <c r="I51" s="11">
        <f t="shared" si="17"/>
        <v>0</v>
      </c>
      <c r="J51" s="11">
        <f t="shared" si="21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8"/>
        <v>#DIV/0!</v>
      </c>
      <c r="N51" s="1" t="e">
        <f t="shared" si="19"/>
        <v>#DIV/0!</v>
      </c>
      <c r="O51" s="11"/>
      <c r="P51" s="11"/>
      <c r="Q51" s="11"/>
      <c r="R51" s="24">
        <v>0</v>
      </c>
      <c r="S51" s="25">
        <v>6</v>
      </c>
      <c r="T51" s="25">
        <v>2</v>
      </c>
      <c r="U51" s="25">
        <v>9</v>
      </c>
      <c r="V51" s="25">
        <v>6</v>
      </c>
      <c r="W51" s="49">
        <v>6</v>
      </c>
      <c r="X51" s="25">
        <v>1</v>
      </c>
      <c r="Y51" s="25">
        <f t="shared" si="0"/>
        <v>1.06</v>
      </c>
      <c r="Z51" s="25">
        <f t="shared" si="1"/>
        <v>1.0812000000000002</v>
      </c>
      <c r="AA51" s="25">
        <f t="shared" si="2"/>
        <v>1.1785080000000003</v>
      </c>
      <c r="AB51" s="25">
        <f t="shared" si="20"/>
        <v>1.2492184800000004</v>
      </c>
      <c r="AC51" s="49">
        <f t="shared" si="4"/>
        <v>1.3241715888000005</v>
      </c>
      <c r="AE51" s="1">
        <v>0</v>
      </c>
      <c r="AF51" s="1">
        <v>6</v>
      </c>
      <c r="AG51" s="1">
        <v>3</v>
      </c>
      <c r="AH51" s="1">
        <v>9</v>
      </c>
      <c r="AI51" s="1">
        <v>6</v>
      </c>
      <c r="AJ51" s="1">
        <v>6</v>
      </c>
      <c r="AL51" s="1">
        <f t="shared" si="3"/>
        <v>1</v>
      </c>
    </row>
    <row r="52" spans="1:38" ht="12.75">
      <c r="A52" s="1">
        <v>47</v>
      </c>
      <c r="B52" s="10" t="s">
        <v>265</v>
      </c>
      <c r="C52" s="191">
        <f>VLOOKUP(MID(B52,1,8)-0,'1.6.2023'!$B$9:$G$160,3,FALSE)</f>
        <v>2439.66</v>
      </c>
      <c r="D52" s="191">
        <f>VLOOKUP(MID(B52,1,8)-0,'1.6.2023'!$B$9:$G$160,5,FALSE)</f>
        <v>2416.54</v>
      </c>
      <c r="E52" s="11">
        <f>IF('muut muuttujat'!$G$3=1,C52,KÄYTTÖTAULU!$B$13)</f>
        <v>2439.66</v>
      </c>
      <c r="F52" s="11">
        <f>IF('muut muuttujat'!$G$3=1,D52,KÄYTTÖTAULU!$B$13)</f>
        <v>2416.54</v>
      </c>
      <c r="G52" s="11">
        <f>KÄYTTÖTAULU!$F$6</f>
        <v>0</v>
      </c>
      <c r="H52" s="11">
        <f>KÄYTTÖTAULU!$F$6</f>
        <v>0</v>
      </c>
      <c r="I52" s="11">
        <f t="shared" si="17"/>
        <v>0</v>
      </c>
      <c r="J52" s="11">
        <f t="shared" si="21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8"/>
        <v>#DIV/0!</v>
      </c>
      <c r="N52" s="1" t="e">
        <f t="shared" si="19"/>
        <v>#DIV/0!</v>
      </c>
      <c r="O52" s="11"/>
      <c r="P52" s="11"/>
      <c r="Q52" s="11"/>
      <c r="R52" s="24">
        <v>0</v>
      </c>
      <c r="S52" s="25">
        <v>6</v>
      </c>
      <c r="T52" s="25">
        <v>2</v>
      </c>
      <c r="U52" s="25">
        <v>9</v>
      </c>
      <c r="V52" s="25">
        <v>6</v>
      </c>
      <c r="W52" s="49">
        <v>6</v>
      </c>
      <c r="X52" s="25">
        <v>1</v>
      </c>
      <c r="Y52" s="25">
        <f t="shared" si="0"/>
        <v>1.06</v>
      </c>
      <c r="Z52" s="25">
        <f t="shared" si="1"/>
        <v>1.0812000000000002</v>
      </c>
      <c r="AA52" s="25">
        <f t="shared" si="2"/>
        <v>1.1785080000000003</v>
      </c>
      <c r="AB52" s="25">
        <f t="shared" si="20"/>
        <v>1.2492184800000004</v>
      </c>
      <c r="AC52" s="49">
        <f t="shared" si="4"/>
        <v>1.3241715888000005</v>
      </c>
      <c r="AE52" s="1">
        <v>0</v>
      </c>
      <c r="AF52" s="1">
        <v>6</v>
      </c>
      <c r="AG52" s="1">
        <v>3</v>
      </c>
      <c r="AH52" s="1">
        <v>9</v>
      </c>
      <c r="AI52" s="1">
        <v>6</v>
      </c>
      <c r="AJ52" s="1">
        <v>6</v>
      </c>
      <c r="AL52" s="1">
        <f t="shared" si="3"/>
        <v>1</v>
      </c>
    </row>
    <row r="53" spans="1:38" ht="12.75">
      <c r="A53" s="1">
        <v>48</v>
      </c>
      <c r="B53" s="10" t="s">
        <v>266</v>
      </c>
      <c r="C53" s="191">
        <f>VLOOKUP(MID(B53,1,8)-0,'1.6.2023'!$B$9:$G$160,3,FALSE)</f>
        <v>2102.82</v>
      </c>
      <c r="D53" s="191">
        <f>VLOOKUP(MID(B53,1,8)-0,'1.6.2023'!$B$9:$G$160,5,FALSE)</f>
        <v>2085.58</v>
      </c>
      <c r="E53" s="11">
        <f>IF('muut muuttujat'!$G$3=1,C53,KÄYTTÖTAULU!$B$13)</f>
        <v>2102.82</v>
      </c>
      <c r="F53" s="11">
        <f>IF('muut muuttujat'!$G$3=1,D53,KÄYTTÖTAULU!$B$13)</f>
        <v>2085.58</v>
      </c>
      <c r="G53" s="11">
        <f>KÄYTTÖTAULU!$F$6</f>
        <v>0</v>
      </c>
      <c r="H53" s="11">
        <f>KÄYTTÖTAULU!$F$6</f>
        <v>0</v>
      </c>
      <c r="I53" s="11">
        <f t="shared" si="17"/>
        <v>0</v>
      </c>
      <c r="J53" s="11">
        <f t="shared" si="21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8"/>
        <v>#DIV/0!</v>
      </c>
      <c r="N53" s="1" t="e">
        <f t="shared" si="19"/>
        <v>#DIV/0!</v>
      </c>
      <c r="O53" s="11"/>
      <c r="P53" s="11"/>
      <c r="Q53" s="11"/>
      <c r="R53" s="24">
        <v>0</v>
      </c>
      <c r="S53" s="25">
        <v>6</v>
      </c>
      <c r="T53" s="25">
        <v>2</v>
      </c>
      <c r="U53" s="25">
        <v>9</v>
      </c>
      <c r="V53" s="25">
        <v>6</v>
      </c>
      <c r="W53" s="49">
        <v>6</v>
      </c>
      <c r="X53" s="25">
        <v>1</v>
      </c>
      <c r="Y53" s="25">
        <f t="shared" si="0"/>
        <v>1.06</v>
      </c>
      <c r="Z53" s="25">
        <f t="shared" si="1"/>
        <v>1.0812000000000002</v>
      </c>
      <c r="AA53" s="25">
        <f t="shared" si="2"/>
        <v>1.1785080000000003</v>
      </c>
      <c r="AB53" s="25">
        <f t="shared" si="20"/>
        <v>1.2492184800000004</v>
      </c>
      <c r="AC53" s="49">
        <f t="shared" si="4"/>
        <v>1.3241715888000005</v>
      </c>
      <c r="AE53" s="1">
        <v>0</v>
      </c>
      <c r="AF53" s="1">
        <v>6</v>
      </c>
      <c r="AG53" s="1">
        <v>3</v>
      </c>
      <c r="AH53" s="1">
        <v>9</v>
      </c>
      <c r="AI53" s="1">
        <v>6</v>
      </c>
      <c r="AJ53" s="1">
        <v>6</v>
      </c>
      <c r="AL53" s="1">
        <f t="shared" si="3"/>
        <v>1</v>
      </c>
    </row>
    <row r="54" spans="1:38" ht="12.75">
      <c r="A54" s="1">
        <v>49</v>
      </c>
      <c r="B54" s="10" t="s">
        <v>267</v>
      </c>
      <c r="C54" s="191">
        <f>VLOOKUP(MID(B54,1,8)-0,'1.6.2023'!$B$9:$G$160,3,FALSE)</f>
        <v>3101.59</v>
      </c>
      <c r="D54" s="191">
        <f>VLOOKUP(MID(B54,1,8)-0,'1.6.2023'!$B$9:$G$160,5,FALSE)</f>
        <v>3072.25</v>
      </c>
      <c r="E54" s="11">
        <f>IF('muut muuttujat'!$G$3=1,C54,KÄYTTÖTAULU!$B$13)</f>
        <v>3101.59</v>
      </c>
      <c r="F54" s="11">
        <f>IF('muut muuttujat'!$G$3=1,D54,KÄYTTÖTAULU!$B$13)</f>
        <v>3072.25</v>
      </c>
      <c r="G54" s="11">
        <f>KÄYTTÖTAULU!$F$6</f>
        <v>0</v>
      </c>
      <c r="H54" s="11">
        <f>KÄYTTÖTAULU!$F$6</f>
        <v>0</v>
      </c>
      <c r="I54" s="11">
        <f t="shared" si="17"/>
        <v>0</v>
      </c>
      <c r="J54" s="11">
        <f t="shared" si="21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8"/>
        <v>#DIV/0!</v>
      </c>
      <c r="N54" s="1" t="e">
        <f t="shared" si="19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3</v>
      </c>
      <c r="U54" s="25">
        <v>6</v>
      </c>
      <c r="V54" s="25">
        <v>6</v>
      </c>
      <c r="W54" s="49">
        <v>6</v>
      </c>
      <c r="X54" s="25">
        <v>1</v>
      </c>
      <c r="Y54" s="25">
        <f t="shared" si="0"/>
        <v>1.04</v>
      </c>
      <c r="Z54" s="25">
        <f t="shared" si="1"/>
        <v>1.0712000000000002</v>
      </c>
      <c r="AA54" s="25">
        <f t="shared" si="2"/>
        <v>1.1354720000000003</v>
      </c>
      <c r="AB54" s="25">
        <f t="shared" si="20"/>
        <v>1.2036003200000003</v>
      </c>
      <c r="AC54" s="49">
        <f t="shared" si="4"/>
        <v>1.2758163392000004</v>
      </c>
      <c r="AE54" s="1">
        <v>0</v>
      </c>
      <c r="AF54" s="1">
        <v>4</v>
      </c>
      <c r="AG54" s="1">
        <v>4</v>
      </c>
      <c r="AH54" s="1">
        <v>6</v>
      </c>
      <c r="AI54" s="1">
        <v>6</v>
      </c>
      <c r="AJ54" s="1">
        <v>6</v>
      </c>
      <c r="AL54" s="1">
        <f t="shared" si="3"/>
        <v>1</v>
      </c>
    </row>
    <row r="55" spans="1:38" ht="12.75">
      <c r="A55" s="1">
        <v>50</v>
      </c>
      <c r="B55" s="10" t="s">
        <v>268</v>
      </c>
      <c r="C55" s="191">
        <f>VLOOKUP(MID(B55,1,8)-0,'1.6.2023'!$B$9:$G$160,3,FALSE)</f>
        <v>2891.53</v>
      </c>
      <c r="D55" s="191">
        <f>VLOOKUP(MID(B55,1,8)-0,'1.6.2023'!$B$9:$G$160,5,FALSE)</f>
        <v>2864.2</v>
      </c>
      <c r="E55" s="11">
        <f>IF('muut muuttujat'!$G$3=1,C55,KÄYTTÖTAULU!$B$13)</f>
        <v>2891.53</v>
      </c>
      <c r="F55" s="11">
        <f>IF('muut muuttujat'!$G$3=1,D55,KÄYTTÖTAULU!$B$13)</f>
        <v>2864.2</v>
      </c>
      <c r="G55" s="11">
        <f>KÄYTTÖTAULU!$F$6</f>
        <v>0</v>
      </c>
      <c r="H55" s="11">
        <f>KÄYTTÖTAULU!$F$6</f>
        <v>0</v>
      </c>
      <c r="I55" s="11">
        <f t="shared" si="17"/>
        <v>0</v>
      </c>
      <c r="J55" s="11">
        <f t="shared" si="21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8"/>
        <v>#DIV/0!</v>
      </c>
      <c r="N55" s="1" t="e">
        <f t="shared" si="19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3</v>
      </c>
      <c r="U55" s="25">
        <v>6</v>
      </c>
      <c r="V55" s="25">
        <v>6</v>
      </c>
      <c r="W55" s="49">
        <v>6</v>
      </c>
      <c r="X55" s="25">
        <v>1</v>
      </c>
      <c r="Y55" s="25">
        <f t="shared" si="0"/>
        <v>1.04</v>
      </c>
      <c r="Z55" s="25">
        <f t="shared" si="1"/>
        <v>1.0712000000000002</v>
      </c>
      <c r="AA55" s="25">
        <f t="shared" si="2"/>
        <v>1.1354720000000003</v>
      </c>
      <c r="AB55" s="25">
        <f t="shared" si="20"/>
        <v>1.2036003200000003</v>
      </c>
      <c r="AC55" s="49">
        <f t="shared" si="4"/>
        <v>1.2758163392000004</v>
      </c>
      <c r="AE55" s="1">
        <v>0</v>
      </c>
      <c r="AF55" s="1">
        <v>4</v>
      </c>
      <c r="AG55" s="1">
        <v>4</v>
      </c>
      <c r="AH55" s="1">
        <v>6</v>
      </c>
      <c r="AI55" s="1">
        <v>6</v>
      </c>
      <c r="AJ55" s="1">
        <v>6</v>
      </c>
      <c r="AL55" s="1">
        <f t="shared" si="3"/>
        <v>1</v>
      </c>
    </row>
    <row r="56" spans="1:38" ht="12.75">
      <c r="A56" s="1">
        <v>51</v>
      </c>
      <c r="B56" s="10" t="s">
        <v>269</v>
      </c>
      <c r="C56" s="191">
        <f>VLOOKUP(MID(B56,1,8)-0,'1.6.2023'!$B$9:$G$160,3,FALSE)</f>
        <v>2534.52</v>
      </c>
      <c r="D56" s="191">
        <f>VLOOKUP(MID(B56,1,8)-0,'1.6.2023'!$B$9:$G$160,5,FALSE)</f>
        <v>2510.55</v>
      </c>
      <c r="E56" s="11">
        <f>IF('muut muuttujat'!$G$3=1,C56,KÄYTTÖTAULU!$B$13)</f>
        <v>2534.52</v>
      </c>
      <c r="F56" s="11">
        <f>IF('muut muuttujat'!$G$3=1,D56,KÄYTTÖTAULU!$B$13)</f>
        <v>2510.55</v>
      </c>
      <c r="G56" s="11">
        <f>KÄYTTÖTAULU!$F$6</f>
        <v>0</v>
      </c>
      <c r="H56" s="11">
        <f>KÄYTTÖTAULU!$F$6</f>
        <v>0</v>
      </c>
      <c r="I56" s="11">
        <f t="shared" si="17"/>
        <v>0</v>
      </c>
      <c r="J56" s="11">
        <f t="shared" si="21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8"/>
        <v>#DIV/0!</v>
      </c>
      <c r="N56" s="1" t="e">
        <f t="shared" si="19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3</v>
      </c>
      <c r="U56" s="25">
        <v>6</v>
      </c>
      <c r="V56" s="25">
        <v>6</v>
      </c>
      <c r="W56" s="49">
        <v>6</v>
      </c>
      <c r="X56" s="25">
        <v>1</v>
      </c>
      <c r="Y56" s="25">
        <f t="shared" si="0"/>
        <v>1.04</v>
      </c>
      <c r="Z56" s="25">
        <f t="shared" si="1"/>
        <v>1.0712000000000002</v>
      </c>
      <c r="AA56" s="25">
        <f t="shared" si="2"/>
        <v>1.1354720000000003</v>
      </c>
      <c r="AB56" s="25">
        <f t="shared" si="20"/>
        <v>1.2036003200000003</v>
      </c>
      <c r="AC56" s="49">
        <f t="shared" si="4"/>
        <v>1.2758163392000004</v>
      </c>
      <c r="AE56" s="1">
        <v>0</v>
      </c>
      <c r="AF56" s="1">
        <v>4</v>
      </c>
      <c r="AG56" s="1">
        <v>4</v>
      </c>
      <c r="AH56" s="1">
        <v>6</v>
      </c>
      <c r="AI56" s="1">
        <v>6</v>
      </c>
      <c r="AJ56" s="1">
        <v>6</v>
      </c>
      <c r="AL56" s="1">
        <f t="shared" si="3"/>
        <v>1</v>
      </c>
    </row>
    <row r="57" spans="1:38" ht="12.75">
      <c r="A57" s="1">
        <v>52</v>
      </c>
      <c r="B57" s="10" t="s">
        <v>270</v>
      </c>
      <c r="C57" s="191">
        <f>VLOOKUP(MID(B57,1,8)-0,'1.6.2023'!$B$9:$G$160,3,FALSE)</f>
        <v>2426.02</v>
      </c>
      <c r="D57" s="191">
        <f>VLOOKUP(MID(B57,1,8)-0,'1.6.2023'!$B$9:$G$160,5,FALSE)</f>
        <v>2403.08</v>
      </c>
      <c r="E57" s="11">
        <f>IF('muut muuttujat'!$G$3=1,C57,KÄYTTÖTAULU!$B$13)</f>
        <v>2426.02</v>
      </c>
      <c r="F57" s="11">
        <f>IF('muut muuttujat'!$G$3=1,D57,KÄYTTÖTAULU!$B$13)</f>
        <v>2403.08</v>
      </c>
      <c r="G57" s="11">
        <f>KÄYTTÖTAULU!$F$6</f>
        <v>0</v>
      </c>
      <c r="H57" s="11">
        <f>KÄYTTÖTAULU!$F$6</f>
        <v>0</v>
      </c>
      <c r="I57" s="11">
        <f t="shared" si="17"/>
        <v>0</v>
      </c>
      <c r="J57" s="11">
        <f t="shared" si="21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8"/>
        <v>#DIV/0!</v>
      </c>
      <c r="N57" s="1" t="e">
        <f t="shared" si="19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3</v>
      </c>
      <c r="U57" s="25">
        <v>6</v>
      </c>
      <c r="V57" s="25">
        <v>6</v>
      </c>
      <c r="W57" s="49">
        <v>6</v>
      </c>
      <c r="X57" s="25">
        <v>1</v>
      </c>
      <c r="Y57" s="25">
        <f t="shared" si="0"/>
        <v>1.04</v>
      </c>
      <c r="Z57" s="25">
        <f t="shared" si="1"/>
        <v>1.0712000000000002</v>
      </c>
      <c r="AA57" s="25">
        <f t="shared" si="2"/>
        <v>1.1354720000000003</v>
      </c>
      <c r="AB57" s="25">
        <f t="shared" si="20"/>
        <v>1.2036003200000003</v>
      </c>
      <c r="AC57" s="49">
        <f t="shared" si="4"/>
        <v>1.2758163392000004</v>
      </c>
      <c r="AE57" s="1">
        <v>0</v>
      </c>
      <c r="AF57" s="1">
        <v>4</v>
      </c>
      <c r="AG57" s="1">
        <v>4</v>
      </c>
      <c r="AH57" s="1">
        <v>6</v>
      </c>
      <c r="AI57" s="1">
        <v>6</v>
      </c>
      <c r="AJ57" s="1">
        <v>6</v>
      </c>
      <c r="AL57" s="1">
        <f t="shared" si="3"/>
        <v>1</v>
      </c>
    </row>
    <row r="58" spans="1:38" ht="12.75">
      <c r="A58" s="1">
        <v>53</v>
      </c>
      <c r="B58" s="10" t="s">
        <v>271</v>
      </c>
      <c r="C58" s="191">
        <f>VLOOKUP(MID(B58,1,8)-0,'1.6.2023'!$B$9:$G$160,3,FALSE)</f>
        <v>2295.01</v>
      </c>
      <c r="D58" s="191">
        <f>VLOOKUP(MID(B58,1,8)-0,'1.6.2023'!$B$9:$G$160,5,FALSE)</f>
        <v>2273.76</v>
      </c>
      <c r="E58" s="11">
        <f>IF('muut muuttujat'!$G$3=1,C58,KÄYTTÖTAULU!$B$13)</f>
        <v>2295.01</v>
      </c>
      <c r="F58" s="11">
        <f>IF('muut muuttujat'!$G$3=1,D58,KÄYTTÖTAULU!$B$13)</f>
        <v>2273.76</v>
      </c>
      <c r="G58" s="11">
        <f>KÄYTTÖTAULU!$F$6</f>
        <v>0</v>
      </c>
      <c r="H58" s="11">
        <f>KÄYTTÖTAULU!$F$6</f>
        <v>0</v>
      </c>
      <c r="I58" s="11">
        <f t="shared" si="17"/>
        <v>0</v>
      </c>
      <c r="J58" s="11">
        <f t="shared" si="21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8"/>
        <v>#DIV/0!</v>
      </c>
      <c r="N58" s="1" t="e">
        <f t="shared" si="19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3</v>
      </c>
      <c r="U58" s="25">
        <v>6</v>
      </c>
      <c r="V58" s="25">
        <v>6</v>
      </c>
      <c r="W58" s="49">
        <v>6</v>
      </c>
      <c r="X58" s="25">
        <v>1</v>
      </c>
      <c r="Y58" s="25">
        <f t="shared" si="0"/>
        <v>1.04</v>
      </c>
      <c r="Z58" s="25">
        <f t="shared" si="1"/>
        <v>1.0712000000000002</v>
      </c>
      <c r="AA58" s="25">
        <f t="shared" si="2"/>
        <v>1.1354720000000003</v>
      </c>
      <c r="AB58" s="25">
        <f t="shared" si="20"/>
        <v>1.2036003200000003</v>
      </c>
      <c r="AC58" s="49">
        <f t="shared" si="4"/>
        <v>1.2758163392000004</v>
      </c>
      <c r="AE58" s="1">
        <v>0</v>
      </c>
      <c r="AF58" s="1">
        <v>4</v>
      </c>
      <c r="AG58" s="1">
        <v>4</v>
      </c>
      <c r="AH58" s="1">
        <v>6</v>
      </c>
      <c r="AI58" s="1">
        <v>6</v>
      </c>
      <c r="AJ58" s="1">
        <v>6</v>
      </c>
      <c r="AL58" s="1">
        <f t="shared" si="3"/>
        <v>1</v>
      </c>
    </row>
    <row r="59" spans="1:38" ht="12.75">
      <c r="A59" s="1">
        <v>54</v>
      </c>
      <c r="B59" s="10" t="s">
        <v>272</v>
      </c>
      <c r="C59" s="191">
        <f>VLOOKUP(MID(B59,1,8)-0,'1.6.2023'!$B$9:$G$160,3,FALSE)</f>
        <v>3123.13</v>
      </c>
      <c r="D59" s="191">
        <f>VLOOKUP(MID(B59,1,8)-0,'1.6.2023'!$B$9:$G$160,5,FALSE)</f>
        <v>3093.59</v>
      </c>
      <c r="E59" s="11">
        <f>IF('muut muuttujat'!$G$3=1,C59,KÄYTTÖTAULU!$B$13)</f>
        <v>3123.13</v>
      </c>
      <c r="F59" s="11">
        <f>IF('muut muuttujat'!$G$3=1,D59,KÄYTTÖTAULU!$B$13)</f>
        <v>3093.59</v>
      </c>
      <c r="G59" s="11">
        <f>KÄYTTÖTAULU!$F$6</f>
        <v>0</v>
      </c>
      <c r="H59" s="11">
        <f>KÄYTTÖTAULU!$F$6</f>
        <v>0</v>
      </c>
      <c r="I59" s="11">
        <f t="shared" si="17"/>
        <v>0</v>
      </c>
      <c r="J59" s="11">
        <f t="shared" si="21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8"/>
        <v>#DIV/0!</v>
      </c>
      <c r="N59" s="1" t="e">
        <f t="shared" si="19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3</v>
      </c>
      <c r="U59" s="25">
        <v>6</v>
      </c>
      <c r="V59" s="25">
        <v>6</v>
      </c>
      <c r="W59" s="49">
        <v>6</v>
      </c>
      <c r="X59" s="25">
        <v>1</v>
      </c>
      <c r="Y59" s="25">
        <f t="shared" si="0"/>
        <v>1.04</v>
      </c>
      <c r="Z59" s="25">
        <f t="shared" si="1"/>
        <v>1.0712000000000002</v>
      </c>
      <c r="AA59" s="25">
        <f t="shared" si="2"/>
        <v>1.1354720000000003</v>
      </c>
      <c r="AB59" s="25">
        <f t="shared" si="20"/>
        <v>1.2036003200000003</v>
      </c>
      <c r="AC59" s="49">
        <f t="shared" si="4"/>
        <v>1.2758163392000004</v>
      </c>
      <c r="AE59" s="1">
        <v>0</v>
      </c>
      <c r="AF59" s="1">
        <v>4</v>
      </c>
      <c r="AG59" s="1">
        <v>4</v>
      </c>
      <c r="AH59" s="1">
        <v>6</v>
      </c>
      <c r="AI59" s="1">
        <v>6</v>
      </c>
      <c r="AJ59" s="1">
        <v>6</v>
      </c>
      <c r="AL59" s="1">
        <f t="shared" si="3"/>
        <v>1</v>
      </c>
    </row>
    <row r="60" spans="1:38" ht="12.75">
      <c r="A60" s="1">
        <v>55</v>
      </c>
      <c r="B60" s="10" t="s">
        <v>273</v>
      </c>
      <c r="C60" s="191">
        <f>VLOOKUP(MID(B60,1,8)-0,'1.6.2023'!$B$9:$G$160,3,FALSE)</f>
        <v>3013.93</v>
      </c>
      <c r="D60" s="191">
        <f>VLOOKUP(MID(B60,1,8)-0,'1.6.2023'!$B$9:$G$160,5,FALSE)</f>
        <v>2985.41</v>
      </c>
      <c r="E60" s="11">
        <f>IF('muut muuttujat'!$G$3=1,C60,KÄYTTÖTAULU!$B$13)</f>
        <v>3013.93</v>
      </c>
      <c r="F60" s="11">
        <f>IF('muut muuttujat'!$G$3=1,D60,KÄYTTÖTAULU!$B$13)</f>
        <v>2985.41</v>
      </c>
      <c r="G60" s="11">
        <f>KÄYTTÖTAULU!$F$6</f>
        <v>0</v>
      </c>
      <c r="H60" s="11">
        <f>KÄYTTÖTAULU!$F$6</f>
        <v>0</v>
      </c>
      <c r="I60" s="11">
        <f t="shared" si="17"/>
        <v>0</v>
      </c>
      <c r="J60" s="11">
        <f t="shared" si="21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8"/>
        <v>#DIV/0!</v>
      </c>
      <c r="N60" s="1" t="e">
        <f t="shared" si="19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3</v>
      </c>
      <c r="U60" s="25">
        <v>6</v>
      </c>
      <c r="V60" s="25">
        <v>6</v>
      </c>
      <c r="W60" s="49">
        <v>6</v>
      </c>
      <c r="X60" s="25">
        <v>1</v>
      </c>
      <c r="Y60" s="25">
        <f t="shared" si="0"/>
        <v>1.04</v>
      </c>
      <c r="Z60" s="25">
        <f t="shared" si="1"/>
        <v>1.0712000000000002</v>
      </c>
      <c r="AA60" s="25">
        <f t="shared" si="2"/>
        <v>1.1354720000000003</v>
      </c>
      <c r="AB60" s="25">
        <f t="shared" si="20"/>
        <v>1.2036003200000003</v>
      </c>
      <c r="AC60" s="49">
        <f t="shared" si="4"/>
        <v>1.2758163392000004</v>
      </c>
      <c r="AE60" s="1">
        <v>0</v>
      </c>
      <c r="AF60" s="1">
        <v>4</v>
      </c>
      <c r="AG60" s="1">
        <v>4</v>
      </c>
      <c r="AH60" s="1">
        <v>6</v>
      </c>
      <c r="AI60" s="1">
        <v>6</v>
      </c>
      <c r="AJ60" s="1">
        <v>6</v>
      </c>
      <c r="AL60" s="1">
        <f t="shared" si="3"/>
        <v>1</v>
      </c>
    </row>
    <row r="61" spans="1:38" ht="12.75">
      <c r="A61" s="1">
        <v>56</v>
      </c>
      <c r="B61" s="10" t="s">
        <v>274</v>
      </c>
      <c r="C61" s="191">
        <f>VLOOKUP(MID(B61,1,8)-0,'1.6.2023'!$B$9:$G$160,3,FALSE)</f>
        <v>2917.31</v>
      </c>
      <c r="D61" s="191">
        <f>VLOOKUP(MID(B61,1,8)-0,'1.6.2023'!$B$9:$G$160,5,FALSE)</f>
        <v>2889.69</v>
      </c>
      <c r="E61" s="11">
        <f>IF('muut muuttujat'!$G$3=1,C61,KÄYTTÖTAULU!$B$13)</f>
        <v>2917.31</v>
      </c>
      <c r="F61" s="11">
        <f>IF('muut muuttujat'!$G$3=1,D61,KÄYTTÖTAULU!$B$13)</f>
        <v>2889.69</v>
      </c>
      <c r="G61" s="11">
        <f>KÄYTTÖTAULU!$F$6</f>
        <v>0</v>
      </c>
      <c r="H61" s="11">
        <f>KÄYTTÖTAULU!$F$6</f>
        <v>0</v>
      </c>
      <c r="I61" s="11">
        <f t="shared" si="17"/>
        <v>0</v>
      </c>
      <c r="J61" s="11">
        <f t="shared" si="21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8"/>
        <v>#DIV/0!</v>
      </c>
      <c r="N61" s="1" t="e">
        <f t="shared" si="19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3</v>
      </c>
      <c r="U61" s="25">
        <v>6</v>
      </c>
      <c r="V61" s="25">
        <v>6</v>
      </c>
      <c r="W61" s="49">
        <v>6</v>
      </c>
      <c r="X61" s="25">
        <v>1</v>
      </c>
      <c r="Y61" s="25">
        <f t="shared" si="0"/>
        <v>1.04</v>
      </c>
      <c r="Z61" s="25">
        <f t="shared" si="1"/>
        <v>1.0712000000000002</v>
      </c>
      <c r="AA61" s="25">
        <f t="shared" si="2"/>
        <v>1.1354720000000003</v>
      </c>
      <c r="AB61" s="25">
        <f t="shared" si="20"/>
        <v>1.2036003200000003</v>
      </c>
      <c r="AC61" s="49">
        <f t="shared" si="4"/>
        <v>1.2758163392000004</v>
      </c>
      <c r="AE61" s="1">
        <v>0</v>
      </c>
      <c r="AF61" s="1">
        <v>4</v>
      </c>
      <c r="AG61" s="1">
        <v>4</v>
      </c>
      <c r="AH61" s="1">
        <v>6</v>
      </c>
      <c r="AI61" s="1">
        <v>6</v>
      </c>
      <c r="AJ61" s="1">
        <v>6</v>
      </c>
      <c r="AL61" s="1">
        <f t="shared" si="3"/>
        <v>1</v>
      </c>
    </row>
    <row r="62" spans="1:38" ht="12.75">
      <c r="A62" s="1">
        <v>57</v>
      </c>
      <c r="B62" s="10" t="s">
        <v>275</v>
      </c>
      <c r="C62" s="191">
        <f>VLOOKUP(MID(B62,1,8)-0,'1.6.2023'!$B$9:$G$160,3,FALSE)</f>
        <v>2871.82</v>
      </c>
      <c r="D62" s="191">
        <f>VLOOKUP(MID(B62,1,8)-0,'1.6.2023'!$B$9:$G$160,5,FALSE)</f>
        <v>2844.68</v>
      </c>
      <c r="E62" s="11">
        <f>IF('muut muuttujat'!$G$3=1,C62,KÄYTTÖTAULU!$B$13)</f>
        <v>2871.82</v>
      </c>
      <c r="F62" s="11">
        <f>IF('muut muuttujat'!$G$3=1,D62,KÄYTTÖTAULU!$B$13)</f>
        <v>2844.68</v>
      </c>
      <c r="G62" s="11">
        <f>KÄYTTÖTAULU!$F$6</f>
        <v>0</v>
      </c>
      <c r="H62" s="11">
        <f>KÄYTTÖTAULU!$F$6</f>
        <v>0</v>
      </c>
      <c r="I62" s="11">
        <f t="shared" si="17"/>
        <v>0</v>
      </c>
      <c r="J62" s="11">
        <f t="shared" si="21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8"/>
        <v>#DIV/0!</v>
      </c>
      <c r="N62" s="1" t="e">
        <f t="shared" si="19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3</v>
      </c>
      <c r="U62" s="25">
        <v>6</v>
      </c>
      <c r="V62" s="25">
        <v>6</v>
      </c>
      <c r="W62" s="49">
        <v>6</v>
      </c>
      <c r="X62" s="25">
        <v>1</v>
      </c>
      <c r="Y62" s="25">
        <f t="shared" si="0"/>
        <v>1.04</v>
      </c>
      <c r="Z62" s="25">
        <f t="shared" si="1"/>
        <v>1.0712000000000002</v>
      </c>
      <c r="AA62" s="25">
        <f t="shared" si="2"/>
        <v>1.1354720000000003</v>
      </c>
      <c r="AB62" s="25">
        <f t="shared" si="20"/>
        <v>1.2036003200000003</v>
      </c>
      <c r="AC62" s="49">
        <f t="shared" si="4"/>
        <v>1.2758163392000004</v>
      </c>
      <c r="AE62" s="1">
        <v>0</v>
      </c>
      <c r="AF62" s="1">
        <v>4</v>
      </c>
      <c r="AG62" s="1">
        <v>4</v>
      </c>
      <c r="AH62" s="1">
        <v>6</v>
      </c>
      <c r="AI62" s="1">
        <v>6</v>
      </c>
      <c r="AJ62" s="1">
        <v>6</v>
      </c>
      <c r="AL62" s="1">
        <f t="shared" si="3"/>
        <v>1</v>
      </c>
    </row>
    <row r="63" spans="1:38" ht="12.75">
      <c r="A63" s="1">
        <v>58</v>
      </c>
      <c r="B63" s="10" t="s">
        <v>276</v>
      </c>
      <c r="C63" s="191">
        <f>VLOOKUP(MID(B63,1,8)-0,'1.6.2023'!$B$9:$G$160,3,FALSE)</f>
        <v>2752.38</v>
      </c>
      <c r="D63" s="191">
        <f>VLOOKUP(MID(B63,1,8)-0,'1.6.2023'!$B$9:$G$160,5,FALSE)</f>
        <v>2726.4</v>
      </c>
      <c r="E63" s="11">
        <f>IF('muut muuttujat'!$G$3=1,C63,KÄYTTÖTAULU!$B$13)</f>
        <v>2752.38</v>
      </c>
      <c r="F63" s="11">
        <f>IF('muut muuttujat'!$G$3=1,D63,KÄYTTÖTAULU!$B$13)</f>
        <v>2726.4</v>
      </c>
      <c r="G63" s="11">
        <f>KÄYTTÖTAULU!$F$6</f>
        <v>0</v>
      </c>
      <c r="H63" s="11">
        <f>KÄYTTÖTAULU!$F$6</f>
        <v>0</v>
      </c>
      <c r="I63" s="11">
        <f t="shared" si="17"/>
        <v>0</v>
      </c>
      <c r="J63" s="11">
        <f t="shared" si="21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8"/>
        <v>#DIV/0!</v>
      </c>
      <c r="N63" s="1" t="e">
        <f t="shared" si="19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4</v>
      </c>
      <c r="T63" s="25">
        <v>3</v>
      </c>
      <c r="U63" s="25">
        <v>6</v>
      </c>
      <c r="V63" s="25">
        <v>6</v>
      </c>
      <c r="W63" s="49">
        <v>6</v>
      </c>
      <c r="X63" s="25">
        <v>1</v>
      </c>
      <c r="Y63" s="25">
        <f t="shared" si="0"/>
        <v>1.04</v>
      </c>
      <c r="Z63" s="25">
        <f t="shared" si="1"/>
        <v>1.0712000000000002</v>
      </c>
      <c r="AA63" s="25">
        <f t="shared" si="2"/>
        <v>1.1354720000000003</v>
      </c>
      <c r="AB63" s="25">
        <f t="shared" si="20"/>
        <v>1.2036003200000003</v>
      </c>
      <c r="AC63" s="49">
        <f t="shared" si="4"/>
        <v>1.2758163392000004</v>
      </c>
      <c r="AE63" s="1">
        <v>0</v>
      </c>
      <c r="AF63" s="1">
        <v>4</v>
      </c>
      <c r="AG63" s="1">
        <v>4</v>
      </c>
      <c r="AH63" s="1">
        <v>6</v>
      </c>
      <c r="AI63" s="1">
        <v>6</v>
      </c>
      <c r="AJ63" s="1">
        <v>6</v>
      </c>
      <c r="AL63" s="1">
        <f t="shared" si="3"/>
        <v>1</v>
      </c>
    </row>
    <row r="64" spans="1:38" ht="12.75">
      <c r="A64" s="1">
        <v>59</v>
      </c>
      <c r="B64" s="10" t="s">
        <v>277</v>
      </c>
      <c r="C64" s="191">
        <f>VLOOKUP(MID(B64,1,8)-0,'1.6.2023'!$B$9:$G$160,3,FALSE)</f>
        <v>2405.68</v>
      </c>
      <c r="D64" s="191">
        <f>VLOOKUP(MID(B64,1,8)-0,'1.6.2023'!$B$9:$G$160,5,FALSE)</f>
        <v>2383.18</v>
      </c>
      <c r="E64" s="11">
        <f>IF('muut muuttujat'!$G$3=1,C64,KÄYTTÖTAULU!$B$13)</f>
        <v>2405.68</v>
      </c>
      <c r="F64" s="11">
        <f>IF('muut muuttujat'!$G$3=1,D64,KÄYTTÖTAULU!$B$13)</f>
        <v>2383.18</v>
      </c>
      <c r="G64" s="11">
        <f>KÄYTTÖTAULU!$F$6</f>
        <v>0</v>
      </c>
      <c r="H64" s="11">
        <f>KÄYTTÖTAULU!$F$6</f>
        <v>0</v>
      </c>
      <c r="I64" s="11">
        <f t="shared" si="17"/>
        <v>0</v>
      </c>
      <c r="J64" s="11">
        <f t="shared" si="21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8"/>
        <v>#DIV/0!</v>
      </c>
      <c r="N64" s="1" t="e">
        <f t="shared" si="19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4</v>
      </c>
      <c r="T64" s="25">
        <v>3</v>
      </c>
      <c r="U64" s="25">
        <v>6</v>
      </c>
      <c r="V64" s="25">
        <v>6</v>
      </c>
      <c r="W64" s="49">
        <v>6</v>
      </c>
      <c r="X64" s="25">
        <v>1</v>
      </c>
      <c r="Y64" s="25">
        <f t="shared" si="0"/>
        <v>1.04</v>
      </c>
      <c r="Z64" s="25">
        <f t="shared" si="1"/>
        <v>1.0712000000000002</v>
      </c>
      <c r="AA64" s="25">
        <f t="shared" si="2"/>
        <v>1.1354720000000003</v>
      </c>
      <c r="AB64" s="25">
        <f t="shared" si="20"/>
        <v>1.2036003200000003</v>
      </c>
      <c r="AC64" s="49">
        <f t="shared" si="4"/>
        <v>1.2758163392000004</v>
      </c>
      <c r="AE64" s="1">
        <v>0</v>
      </c>
      <c r="AF64" s="1">
        <v>4</v>
      </c>
      <c r="AG64" s="1">
        <v>4</v>
      </c>
      <c r="AH64" s="1">
        <v>6</v>
      </c>
      <c r="AI64" s="1">
        <v>6</v>
      </c>
      <c r="AJ64" s="1">
        <v>6</v>
      </c>
      <c r="AL64" s="1">
        <f t="shared" si="3"/>
        <v>1</v>
      </c>
    </row>
    <row r="65" spans="1:38" ht="12.75">
      <c r="A65" s="1">
        <v>60</v>
      </c>
      <c r="B65" s="10" t="s">
        <v>278</v>
      </c>
      <c r="C65" s="191">
        <f>VLOOKUP(MID(B65,1,8)-0,'1.6.2023'!$B$9:$G$160,3,FALSE)</f>
        <v>3101.59</v>
      </c>
      <c r="D65" s="191">
        <f>VLOOKUP(MID(B65,1,8)-0,'1.6.2023'!$B$9:$G$160,5,FALSE)</f>
        <v>3072.25</v>
      </c>
      <c r="E65" s="11">
        <f>IF('muut muuttujat'!$G$3=1,C65,KÄYTTÖTAULU!$B$13)</f>
        <v>3101.59</v>
      </c>
      <c r="F65" s="11">
        <f>IF('muut muuttujat'!$G$3=1,D65,KÄYTTÖTAULU!$B$13)</f>
        <v>3072.25</v>
      </c>
      <c r="G65" s="11">
        <f>KÄYTTÖTAULU!$F$6</f>
        <v>0</v>
      </c>
      <c r="H65" s="11">
        <f>KÄYTTÖTAULU!$F$6</f>
        <v>0</v>
      </c>
      <c r="I65" s="11">
        <f t="shared" si="17"/>
        <v>0</v>
      </c>
      <c r="J65" s="11">
        <f t="shared" si="21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8"/>
        <v>#DIV/0!</v>
      </c>
      <c r="N65" s="1" t="e">
        <f t="shared" si="19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4</v>
      </c>
      <c r="T65" s="25">
        <v>3</v>
      </c>
      <c r="U65" s="25">
        <v>6</v>
      </c>
      <c r="V65" s="25">
        <v>6</v>
      </c>
      <c r="W65" s="49">
        <v>6</v>
      </c>
      <c r="X65" s="25">
        <v>1</v>
      </c>
      <c r="Y65" s="25">
        <f t="shared" si="0"/>
        <v>1.04</v>
      </c>
      <c r="Z65" s="25">
        <f t="shared" si="1"/>
        <v>1.0712000000000002</v>
      </c>
      <c r="AA65" s="25">
        <f t="shared" si="2"/>
        <v>1.1354720000000003</v>
      </c>
      <c r="AB65" s="25">
        <f t="shared" si="20"/>
        <v>1.2036003200000003</v>
      </c>
      <c r="AC65" s="49">
        <f t="shared" si="4"/>
        <v>1.2758163392000004</v>
      </c>
      <c r="AE65" s="1">
        <v>0</v>
      </c>
      <c r="AF65" s="1">
        <v>4</v>
      </c>
      <c r="AG65" s="1">
        <v>4</v>
      </c>
      <c r="AH65" s="1">
        <v>6</v>
      </c>
      <c r="AI65" s="1">
        <v>6</v>
      </c>
      <c r="AJ65" s="1">
        <v>6</v>
      </c>
      <c r="AL65" s="1">
        <f t="shared" si="3"/>
        <v>1</v>
      </c>
    </row>
    <row r="66" spans="1:38" ht="12.75">
      <c r="A66" s="1">
        <v>61</v>
      </c>
      <c r="B66" s="10" t="s">
        <v>279</v>
      </c>
      <c r="C66" s="191">
        <f>VLOOKUP(MID(B66,1,8)-0,'1.6.2023'!$B$9:$G$160,3,FALSE)</f>
        <v>2887.34</v>
      </c>
      <c r="D66" s="191">
        <f>VLOOKUP(MID(B66,1,8)-0,'1.6.2023'!$B$9:$G$160,5,FALSE)</f>
        <v>2860.05</v>
      </c>
      <c r="E66" s="11">
        <f>IF('muut muuttujat'!$G$3=1,C66,KÄYTTÖTAULU!$B$13)</f>
        <v>2887.34</v>
      </c>
      <c r="F66" s="11">
        <f>IF('muut muuttujat'!$G$3=1,D66,KÄYTTÖTAULU!$B$13)</f>
        <v>2860.05</v>
      </c>
      <c r="G66" s="11">
        <f>KÄYTTÖTAULU!$F$6</f>
        <v>0</v>
      </c>
      <c r="H66" s="11">
        <f>KÄYTTÖTAULU!$F$6</f>
        <v>0</v>
      </c>
      <c r="I66" s="11">
        <f t="shared" si="17"/>
        <v>0</v>
      </c>
      <c r="J66" s="11">
        <f t="shared" si="21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8"/>
        <v>#DIV/0!</v>
      </c>
      <c r="N66" s="1" t="e">
        <f t="shared" si="19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4</v>
      </c>
      <c r="T66" s="25">
        <v>3</v>
      </c>
      <c r="U66" s="25">
        <v>6</v>
      </c>
      <c r="V66" s="25">
        <v>6</v>
      </c>
      <c r="W66" s="49">
        <v>6</v>
      </c>
      <c r="X66" s="25">
        <v>1</v>
      </c>
      <c r="Y66" s="25">
        <f t="shared" si="0"/>
        <v>1.04</v>
      </c>
      <c r="Z66" s="25">
        <f t="shared" si="1"/>
        <v>1.0712000000000002</v>
      </c>
      <c r="AA66" s="25">
        <f t="shared" si="2"/>
        <v>1.1354720000000003</v>
      </c>
      <c r="AB66" s="25">
        <f t="shared" si="20"/>
        <v>1.2036003200000003</v>
      </c>
      <c r="AC66" s="49">
        <f t="shared" si="4"/>
        <v>1.2758163392000004</v>
      </c>
      <c r="AE66" s="1">
        <v>0</v>
      </c>
      <c r="AF66" s="1">
        <v>4</v>
      </c>
      <c r="AG66" s="1">
        <v>4</v>
      </c>
      <c r="AH66" s="1">
        <v>6</v>
      </c>
      <c r="AI66" s="1">
        <v>6</v>
      </c>
      <c r="AJ66" s="1">
        <v>6</v>
      </c>
      <c r="AL66" s="1">
        <f t="shared" si="3"/>
        <v>1</v>
      </c>
    </row>
    <row r="67" spans="1:38" ht="12.75">
      <c r="A67" s="1">
        <v>62</v>
      </c>
      <c r="B67" s="10" t="s">
        <v>280</v>
      </c>
      <c r="C67" s="191">
        <f>VLOOKUP(MID(B67,1,8)-0,'1.6.2023'!$B$9:$G$160,3,FALSE)</f>
        <v>2779.12</v>
      </c>
      <c r="D67" s="191">
        <f>VLOOKUP(MID(B67,1,8)-0,'1.6.2023'!$B$9:$G$160,5,FALSE)</f>
        <v>2752.82</v>
      </c>
      <c r="E67" s="11">
        <f>IF('muut muuttujat'!$G$3=1,C67,KÄYTTÖTAULU!$B$13)</f>
        <v>2779.12</v>
      </c>
      <c r="F67" s="11">
        <f>IF('muut muuttujat'!$G$3=1,D67,KÄYTTÖTAULU!$B$13)</f>
        <v>2752.82</v>
      </c>
      <c r="G67" s="11">
        <f>KÄYTTÖTAULU!$F$6</f>
        <v>0</v>
      </c>
      <c r="H67" s="11">
        <f>KÄYTTÖTAULU!$F$6</f>
        <v>0</v>
      </c>
      <c r="I67" s="11">
        <f t="shared" si="17"/>
        <v>0</v>
      </c>
      <c r="J67" s="11">
        <f t="shared" si="21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8"/>
        <v>#DIV/0!</v>
      </c>
      <c r="N67" s="1" t="e">
        <f t="shared" si="19"/>
        <v>#DIV/0!</v>
      </c>
      <c r="O67" s="11" t="e">
        <f>ROUND(ROUND(E67*0.83/KÄYTTÖTAULU!$I$8*12/38,2)*0.94,2)</f>
        <v>#DIV/0!</v>
      </c>
      <c r="P67" s="11" t="e">
        <f>ROUND(ROUND(F67*0.83/KÄYTTÖTAULU!$I$8*12/38,2)*0.94,2)</f>
        <v>#DIV/0!</v>
      </c>
      <c r="Q67" s="11"/>
      <c r="R67" s="24">
        <v>0</v>
      </c>
      <c r="S67" s="25">
        <v>4</v>
      </c>
      <c r="T67" s="25">
        <v>3</v>
      </c>
      <c r="U67" s="25">
        <v>6</v>
      </c>
      <c r="V67" s="25">
        <v>6</v>
      </c>
      <c r="W67" s="49">
        <v>6</v>
      </c>
      <c r="X67" s="25">
        <v>1</v>
      </c>
      <c r="Y67" s="25">
        <f t="shared" si="0"/>
        <v>1.04</v>
      </c>
      <c r="Z67" s="25">
        <f t="shared" si="1"/>
        <v>1.0712000000000002</v>
      </c>
      <c r="AA67" s="25">
        <f t="shared" si="2"/>
        <v>1.1354720000000003</v>
      </c>
      <c r="AB67" s="25">
        <f t="shared" si="20"/>
        <v>1.2036003200000003</v>
      </c>
      <c r="AC67" s="49">
        <f t="shared" si="4"/>
        <v>1.2758163392000004</v>
      </c>
      <c r="AE67" s="1">
        <v>0</v>
      </c>
      <c r="AF67" s="1">
        <v>4</v>
      </c>
      <c r="AG67" s="1">
        <v>4</v>
      </c>
      <c r="AH67" s="1">
        <v>6</v>
      </c>
      <c r="AI67" s="1">
        <v>6</v>
      </c>
      <c r="AJ67" s="1">
        <v>6</v>
      </c>
      <c r="AL67" s="1">
        <f t="shared" si="3"/>
        <v>1</v>
      </c>
    </row>
    <row r="68" spans="1:38" ht="12.75">
      <c r="A68" s="1">
        <v>63</v>
      </c>
      <c r="B68" s="10" t="s">
        <v>500</v>
      </c>
      <c r="C68" s="191">
        <f>VLOOKUP(MID(B68,1,8)-0,'1.6.2023'!$B$9:$G$160,3,FALSE)</f>
        <v>2269.85</v>
      </c>
      <c r="D68" s="191">
        <f>VLOOKUP(MID(B68,1,8)-0,'1.6.2023'!$B$9:$G$160,5,FALSE)</f>
        <v>2249.01</v>
      </c>
      <c r="E68" s="11">
        <f>IF('muut muuttujat'!$G$3=1,C68,KÄYTTÖTAULU!$B$13)</f>
        <v>2269.85</v>
      </c>
      <c r="F68" s="11">
        <f>IF('muut muuttujat'!$G$3=1,D68,KÄYTTÖTAULU!$B$13)</f>
        <v>2249.01</v>
      </c>
      <c r="G68" s="11">
        <f>KÄYTTÖTAULU!$F$6</f>
        <v>0</v>
      </c>
      <c r="H68" s="11">
        <f>KÄYTTÖTAULU!$F$6</f>
        <v>0</v>
      </c>
      <c r="I68" s="11">
        <f t="shared" si="17"/>
        <v>0</v>
      </c>
      <c r="J68" s="11">
        <f t="shared" si="21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8"/>
        <v>#DIV/0!</v>
      </c>
      <c r="N68" s="1" t="e">
        <f t="shared" si="19"/>
        <v>#DIV/0!</v>
      </c>
      <c r="O68" s="11" t="e">
        <f>ROUND(ROUND(E68*0.83/KÄYTTÖTAULU!$I$8*12/38,2)*0.94,2)</f>
        <v>#DIV/0!</v>
      </c>
      <c r="P68" s="11" t="e">
        <f>ROUND(ROUND(F68*0.83/KÄYTTÖTAULU!$I$8*12/38,2)*0.94,2)</f>
        <v>#DIV/0!</v>
      </c>
      <c r="Q68" s="11"/>
      <c r="R68" s="24">
        <v>0</v>
      </c>
      <c r="S68" s="25">
        <v>4</v>
      </c>
      <c r="T68" s="25">
        <v>3</v>
      </c>
      <c r="U68" s="25">
        <v>6</v>
      </c>
      <c r="V68" s="25">
        <v>6</v>
      </c>
      <c r="W68" s="49">
        <v>6</v>
      </c>
      <c r="X68" s="25">
        <v>1</v>
      </c>
      <c r="Y68" s="25">
        <f t="shared" si="0"/>
        <v>1.04</v>
      </c>
      <c r="Z68" s="25">
        <f t="shared" si="1"/>
        <v>1.0712000000000002</v>
      </c>
      <c r="AA68" s="25">
        <f t="shared" si="2"/>
        <v>1.1354720000000003</v>
      </c>
      <c r="AB68" s="25">
        <f t="shared" si="20"/>
        <v>1.2036003200000003</v>
      </c>
      <c r="AC68" s="49">
        <f t="shared" si="4"/>
        <v>1.2758163392000004</v>
      </c>
      <c r="AE68" s="1">
        <v>0</v>
      </c>
      <c r="AF68" s="1">
        <v>4</v>
      </c>
      <c r="AG68" s="1">
        <v>4</v>
      </c>
      <c r="AH68" s="1">
        <v>6</v>
      </c>
      <c r="AI68" s="1">
        <v>6</v>
      </c>
      <c r="AJ68" s="1">
        <v>6</v>
      </c>
      <c r="AL68" s="1">
        <f t="shared" si="3"/>
        <v>1</v>
      </c>
    </row>
    <row r="69" spans="1:38" ht="12.75">
      <c r="A69" s="1">
        <v>64</v>
      </c>
      <c r="B69" s="10" t="s">
        <v>281</v>
      </c>
      <c r="C69" s="191">
        <f>VLOOKUP(MID(B69,1,8)-0,'1.6.2023'!$B$9:$G$160,3,FALSE)</f>
        <v>2166.9</v>
      </c>
      <c r="D69" s="191">
        <f>VLOOKUP(MID(B69,1,8)-0,'1.6.2023'!$B$9:$G$160,5,FALSE)</f>
        <v>2147.84</v>
      </c>
      <c r="E69" s="11">
        <f>IF('muut muuttujat'!$G$3=1,C69,KÄYTTÖTAULU!$B$13)</f>
        <v>2166.9</v>
      </c>
      <c r="F69" s="11">
        <f>IF('muut muuttujat'!$G$3=1,D69,KÄYTTÖTAULU!$B$13)</f>
        <v>2147.84</v>
      </c>
      <c r="G69" s="11">
        <f>KÄYTTÖTAULU!$F$6</f>
        <v>0</v>
      </c>
      <c r="H69" s="11">
        <f>KÄYTTÖTAULU!$F$6</f>
        <v>0</v>
      </c>
      <c r="I69" s="11">
        <f t="shared" si="17"/>
        <v>0</v>
      </c>
      <c r="J69" s="11">
        <f t="shared" si="21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8"/>
        <v>#DIV/0!</v>
      </c>
      <c r="N69" s="1" t="e">
        <f t="shared" si="19"/>
        <v>#DIV/0!</v>
      </c>
      <c r="O69" s="11" t="e">
        <f>ROUND(ROUND(E69*0.83/KÄYTTÖTAULU!$I$8*12/38,2)*0.94,2)</f>
        <v>#DIV/0!</v>
      </c>
      <c r="P69" s="11" t="e">
        <f>ROUND(ROUND(F69*0.83/KÄYTTÖTAULU!$I$8*12/38,2)*0.94,2)</f>
        <v>#DIV/0!</v>
      </c>
      <c r="Q69" s="11"/>
      <c r="R69" s="24">
        <v>0</v>
      </c>
      <c r="S69" s="25">
        <v>4</v>
      </c>
      <c r="T69" s="25">
        <v>3</v>
      </c>
      <c r="U69" s="25">
        <v>6</v>
      </c>
      <c r="V69" s="25">
        <v>6</v>
      </c>
      <c r="W69" s="49">
        <v>6</v>
      </c>
      <c r="X69" s="25">
        <v>1</v>
      </c>
      <c r="Y69" s="25">
        <f t="shared" si="0"/>
        <v>1.04</v>
      </c>
      <c r="Z69" s="25">
        <f t="shared" si="1"/>
        <v>1.0712000000000002</v>
      </c>
      <c r="AA69" s="25">
        <f t="shared" si="2"/>
        <v>1.1354720000000003</v>
      </c>
      <c r="AB69" s="25">
        <f t="shared" si="20"/>
        <v>1.2036003200000003</v>
      </c>
      <c r="AC69" s="49">
        <f t="shared" si="4"/>
        <v>1.2758163392000004</v>
      </c>
      <c r="AE69" s="1">
        <v>0</v>
      </c>
      <c r="AF69" s="1">
        <v>4</v>
      </c>
      <c r="AG69" s="1">
        <v>4</v>
      </c>
      <c r="AH69" s="1">
        <v>6</v>
      </c>
      <c r="AI69" s="1">
        <v>6</v>
      </c>
      <c r="AJ69" s="1">
        <v>6</v>
      </c>
      <c r="AL69" s="1">
        <f t="shared" si="3"/>
        <v>1</v>
      </c>
    </row>
    <row r="70" spans="1:38" ht="12.75">
      <c r="A70" s="1">
        <v>65</v>
      </c>
      <c r="B70" s="10" t="s">
        <v>282</v>
      </c>
      <c r="C70" s="191">
        <f>VLOOKUP(MID(B70,1,8)-0,'1.6.2023'!$B$9:$G$160,3,FALSE)</f>
        <v>2491.49</v>
      </c>
      <c r="D70" s="191">
        <f>VLOOKUP(MID(B70,1,8)-0,'1.6.2023'!$B$9:$G$160,5,FALSE)</f>
        <v>2467.91</v>
      </c>
      <c r="E70" s="11">
        <f>IF('muut muuttujat'!$G$3=1,C70,KÄYTTÖTAULU!$B$13)</f>
        <v>2491.49</v>
      </c>
      <c r="F70" s="11">
        <f>IF('muut muuttujat'!$G$3=1,D70,KÄYTTÖTAULU!$B$13)</f>
        <v>2467.91</v>
      </c>
      <c r="G70" s="11">
        <f>KÄYTTÖTAULU!$F$6</f>
        <v>0</v>
      </c>
      <c r="H70" s="11">
        <f>KÄYTTÖTAULU!$F$6</f>
        <v>0</v>
      </c>
      <c r="I70" s="11">
        <f t="shared" si="17"/>
        <v>0</v>
      </c>
      <c r="J70" s="11">
        <f t="shared" si="21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8"/>
        <v>#DIV/0!</v>
      </c>
      <c r="N70" s="1" t="e">
        <f t="shared" si="19"/>
        <v>#DIV/0!</v>
      </c>
      <c r="O70" s="11" t="e">
        <f>ROUND(ROUND(E70*0.83/KÄYTTÖTAULU!$I$8*12/38,2)*0.94,2)</f>
        <v>#DIV/0!</v>
      </c>
      <c r="P70" s="11" t="e">
        <f>ROUND(ROUND(F70*0.83/KÄYTTÖTAULU!$I$8*12/38,2)*0.94,2)</f>
        <v>#DIV/0!</v>
      </c>
      <c r="Q70" s="11"/>
      <c r="R70" s="24">
        <v>0</v>
      </c>
      <c r="S70" s="25">
        <v>6</v>
      </c>
      <c r="T70" s="25">
        <v>2</v>
      </c>
      <c r="U70" s="25">
        <v>9</v>
      </c>
      <c r="V70" s="25">
        <v>6</v>
      </c>
      <c r="W70" s="49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1.1785080000000003</v>
      </c>
      <c r="AB70" s="25">
        <f t="shared" si="20"/>
        <v>1.2492184800000004</v>
      </c>
      <c r="AC70" s="49">
        <f t="shared" si="4"/>
        <v>1.3241715888000005</v>
      </c>
      <c r="AE70" s="1">
        <v>0</v>
      </c>
      <c r="AF70" s="1">
        <v>6</v>
      </c>
      <c r="AG70" s="1">
        <v>3</v>
      </c>
      <c r="AH70" s="1">
        <v>9</v>
      </c>
      <c r="AI70" s="1">
        <v>6</v>
      </c>
      <c r="AJ70" s="1">
        <v>6</v>
      </c>
      <c r="AL70" s="1">
        <f t="shared" si="3"/>
        <v>1</v>
      </c>
    </row>
    <row r="71" spans="1:38" ht="12.75">
      <c r="A71" s="1">
        <v>66</v>
      </c>
      <c r="B71" s="10" t="s">
        <v>499</v>
      </c>
      <c r="C71" s="191">
        <f>VLOOKUP(MID(B71,1,8)-0,'1.6.2023'!$B$9:$G$160,3,FALSE)</f>
        <v>2491.49</v>
      </c>
      <c r="D71" s="191">
        <f>VLOOKUP(MID(B71,1,8)-0,'1.6.2023'!$B$9:$G$160,5,FALSE)</f>
        <v>2467.91</v>
      </c>
      <c r="E71" s="11">
        <f>IF('muut muuttujat'!$G$3=1,C71,KÄYTTÖTAULU!$B$13)</f>
        <v>2491.49</v>
      </c>
      <c r="F71" s="11">
        <f>IF('muut muuttujat'!$G$3=1,D71,KÄYTTÖTAULU!$B$13)</f>
        <v>2467.91</v>
      </c>
      <c r="G71" s="11">
        <f>KÄYTTÖTAULU!$F$6</f>
        <v>0</v>
      </c>
      <c r="H71" s="11">
        <f>KÄYTTÖTAULU!$F$6</f>
        <v>0</v>
      </c>
      <c r="I71" s="11">
        <f t="shared" si="17"/>
        <v>0</v>
      </c>
      <c r="J71" s="11">
        <f t="shared" si="21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8"/>
        <v>#DIV/0!</v>
      </c>
      <c r="N71" s="1" t="e">
        <f t="shared" si="19"/>
        <v>#DIV/0!</v>
      </c>
      <c r="O71" s="11" t="e">
        <f>ROUND(ROUND(E71*0.83/KÄYTTÖTAULU!$I$8*12/38,2)*0.94,2)</f>
        <v>#DIV/0!</v>
      </c>
      <c r="P71" s="11" t="e">
        <f>ROUND(ROUND(F71*0.83/KÄYTTÖTAULU!$I$8*12/38,2)*0.94,2)</f>
        <v>#DIV/0!</v>
      </c>
      <c r="Q71" s="11"/>
      <c r="R71" s="24">
        <v>0</v>
      </c>
      <c r="S71" s="25">
        <v>6</v>
      </c>
      <c r="T71" s="25">
        <v>2</v>
      </c>
      <c r="U71" s="25">
        <v>9</v>
      </c>
      <c r="V71" s="25">
        <v>6</v>
      </c>
      <c r="W71" s="49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1.1785080000000003</v>
      </c>
      <c r="AB71" s="25">
        <f t="shared" si="20"/>
        <v>1.2492184800000004</v>
      </c>
      <c r="AC71" s="49">
        <f t="shared" si="4"/>
        <v>1.3241715888000005</v>
      </c>
      <c r="AE71" s="1">
        <v>0</v>
      </c>
      <c r="AF71" s="1">
        <v>6</v>
      </c>
      <c r="AG71" s="1">
        <v>3</v>
      </c>
      <c r="AH71" s="1">
        <v>9</v>
      </c>
      <c r="AI71" s="1">
        <v>6</v>
      </c>
      <c r="AJ71" s="1">
        <v>6</v>
      </c>
      <c r="AL71" s="1">
        <f t="shared" si="3"/>
        <v>1</v>
      </c>
    </row>
    <row r="72" spans="1:38" ht="12.75">
      <c r="A72" s="1">
        <v>67</v>
      </c>
      <c r="B72" s="10" t="s">
        <v>283</v>
      </c>
      <c r="C72" s="191">
        <f>VLOOKUP(MID(B72,1,8)-0,'1.6.2023'!$B$9:$G$160,3,FALSE)</f>
        <v>2439.66</v>
      </c>
      <c r="D72" s="191">
        <f>VLOOKUP(MID(B72,1,8)-0,'1.6.2023'!$B$9:$G$160,5,FALSE)</f>
        <v>2416.54</v>
      </c>
      <c r="E72" s="11">
        <f>IF('muut muuttujat'!$G$3=1,C72,KÄYTTÖTAULU!$B$13)</f>
        <v>2439.66</v>
      </c>
      <c r="F72" s="11">
        <f>IF('muut muuttujat'!$G$3=1,D72,KÄYTTÖTAULU!$B$13)</f>
        <v>2416.54</v>
      </c>
      <c r="G72" s="11">
        <f>KÄYTTÖTAULU!$F$6</f>
        <v>0</v>
      </c>
      <c r="H72" s="11">
        <f>KÄYTTÖTAULU!$F$6</f>
        <v>0</v>
      </c>
      <c r="I72" s="11">
        <f t="shared" si="17"/>
        <v>0</v>
      </c>
      <c r="J72" s="11">
        <f t="shared" si="21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8"/>
        <v>#DIV/0!</v>
      </c>
      <c r="N72" s="1" t="e">
        <f t="shared" si="19"/>
        <v>#DIV/0!</v>
      </c>
      <c r="O72" s="11" t="e">
        <f>ROUND(ROUND(E72*0.83/KÄYTTÖTAULU!$I$8*12/38,2)*0.94,2)</f>
        <v>#DIV/0!</v>
      </c>
      <c r="P72" s="11" t="e">
        <f>ROUND(ROUND(F72*0.83/KÄYTTÖTAULU!$I$8*12/38,2)*0.94,2)</f>
        <v>#DIV/0!</v>
      </c>
      <c r="Q72" s="11"/>
      <c r="R72" s="24">
        <v>0</v>
      </c>
      <c r="S72" s="25">
        <v>6</v>
      </c>
      <c r="T72" s="25">
        <v>2</v>
      </c>
      <c r="U72" s="25">
        <v>9</v>
      </c>
      <c r="V72" s="25">
        <v>6</v>
      </c>
      <c r="W72" s="49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1.1785080000000003</v>
      </c>
      <c r="AB72" s="25">
        <f t="shared" si="20"/>
        <v>1.2492184800000004</v>
      </c>
      <c r="AC72" s="49">
        <f t="shared" si="4"/>
        <v>1.3241715888000005</v>
      </c>
      <c r="AE72" s="1">
        <v>0</v>
      </c>
      <c r="AF72" s="1">
        <v>6</v>
      </c>
      <c r="AG72" s="1">
        <v>3</v>
      </c>
      <c r="AH72" s="1">
        <v>9</v>
      </c>
      <c r="AI72" s="1">
        <v>6</v>
      </c>
      <c r="AJ72" s="1">
        <v>6</v>
      </c>
      <c r="AL72" s="1">
        <f t="shared" si="3"/>
        <v>1</v>
      </c>
    </row>
    <row r="73" spans="1:38" ht="12.75">
      <c r="A73" s="1">
        <v>68</v>
      </c>
      <c r="B73" s="10" t="s">
        <v>284</v>
      </c>
      <c r="C73" s="191">
        <f>VLOOKUP(MID(B73,1,8)-0,'1.6.2023'!$B$9:$G$160,3,FALSE)</f>
        <v>2102.82</v>
      </c>
      <c r="D73" s="191">
        <f>VLOOKUP(MID(B73,1,8)-0,'1.6.2023'!$B$9:$G$160,5,FALSE)</f>
        <v>2085.58</v>
      </c>
      <c r="E73" s="11">
        <f>IF('muut muuttujat'!$G$3=1,C73,KÄYTTÖTAULU!$B$13)</f>
        <v>2102.82</v>
      </c>
      <c r="F73" s="11">
        <f>IF('muut muuttujat'!$G$3=1,D73,KÄYTTÖTAULU!$B$13)</f>
        <v>2085.58</v>
      </c>
      <c r="G73" s="11">
        <f>KÄYTTÖTAULU!$F$6</f>
        <v>0</v>
      </c>
      <c r="H73" s="11">
        <f>KÄYTTÖTAULU!$F$6</f>
        <v>0</v>
      </c>
      <c r="I73" s="11">
        <f t="shared" si="17"/>
        <v>0</v>
      </c>
      <c r="J73" s="11">
        <f t="shared" si="21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8"/>
        <v>#DIV/0!</v>
      </c>
      <c r="N73" s="1" t="e">
        <f t="shared" si="19"/>
        <v>#DIV/0!</v>
      </c>
      <c r="O73" s="11" t="e">
        <f>ROUND(ROUND(E73*0.83/KÄYTTÖTAULU!$I$8*12/38,2)*0.94,2)</f>
        <v>#DIV/0!</v>
      </c>
      <c r="P73" s="11" t="e">
        <f>ROUND(ROUND(F73*0.83/KÄYTTÖTAULU!$I$8*12/38,2)*0.94,2)</f>
        <v>#DIV/0!</v>
      </c>
      <c r="Q73" s="11"/>
      <c r="R73" s="24">
        <v>0</v>
      </c>
      <c r="S73" s="25">
        <v>6</v>
      </c>
      <c r="T73" s="25">
        <v>2</v>
      </c>
      <c r="U73" s="25">
        <v>9</v>
      </c>
      <c r="V73" s="25">
        <v>6</v>
      </c>
      <c r="W73" s="49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1.1785080000000003</v>
      </c>
      <c r="AB73" s="25">
        <f t="shared" si="20"/>
        <v>1.2492184800000004</v>
      </c>
      <c r="AC73" s="49">
        <f t="shared" si="4"/>
        <v>1.3241715888000005</v>
      </c>
      <c r="AE73" s="1">
        <v>0</v>
      </c>
      <c r="AF73" s="1">
        <v>6</v>
      </c>
      <c r="AG73" s="1">
        <v>3</v>
      </c>
      <c r="AH73" s="1">
        <v>9</v>
      </c>
      <c r="AI73" s="1">
        <v>6</v>
      </c>
      <c r="AJ73" s="1">
        <v>6</v>
      </c>
      <c r="AL73" s="1">
        <f t="shared" si="3"/>
        <v>1</v>
      </c>
    </row>
    <row r="74" spans="1:38" ht="12.75">
      <c r="A74" s="1">
        <v>69</v>
      </c>
      <c r="B74" s="10" t="s">
        <v>285</v>
      </c>
      <c r="C74" s="191">
        <f>VLOOKUP(MID(B74,1,8)-0,'1.6.2023'!$B$9:$G$160,3,FALSE)</f>
        <v>3256.61</v>
      </c>
      <c r="D74" s="191">
        <f>VLOOKUP(MID(B74,1,8)-0,'1.6.2023'!$B$9:$G$160,5,FALSE)</f>
        <v>3225.85</v>
      </c>
      <c r="E74" s="11">
        <f>IF('muut muuttujat'!$G$3=1,C74,KÄYTTÖTAULU!$B$13)</f>
        <v>3256.61</v>
      </c>
      <c r="F74" s="11">
        <f>IF('muut muuttujat'!$G$3=1,D74,KÄYTTÖTAULU!$B$13)</f>
        <v>3225.85</v>
      </c>
      <c r="G74" s="11">
        <f>KÄYTTÖTAULU!$F$6</f>
        <v>0</v>
      </c>
      <c r="H74" s="11">
        <f>KÄYTTÖTAULU!$F$6</f>
        <v>0</v>
      </c>
      <c r="I74" s="11">
        <f t="shared" si="17"/>
        <v>0</v>
      </c>
      <c r="J74" s="11">
        <f t="shared" si="21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t="shared" si="18"/>
        <v>#DIV/0!</v>
      </c>
      <c r="N74" s="1" t="e">
        <f t="shared" si="19"/>
        <v>#DIV/0!</v>
      </c>
      <c r="O74" s="11"/>
      <c r="P74" s="11"/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49">
        <v>6</v>
      </c>
      <c r="X74" s="25">
        <v>1</v>
      </c>
      <c r="Y74" s="25">
        <f t="shared" si="0"/>
        <v>1.06</v>
      </c>
      <c r="Z74" s="25">
        <f t="shared" si="1"/>
        <v>1.0812000000000002</v>
      </c>
      <c r="AA74" s="25">
        <f t="shared" si="2"/>
        <v>1.1893200000000004</v>
      </c>
      <c r="AB74" s="25">
        <f t="shared" si="20"/>
        <v>1.2368928000000003</v>
      </c>
      <c r="AC74" s="49">
        <f t="shared" si="4"/>
        <v>1.3111063680000004</v>
      </c>
      <c r="AE74" s="1">
        <v>0</v>
      </c>
      <c r="AF74" s="1">
        <v>6</v>
      </c>
      <c r="AG74" s="1">
        <v>2</v>
      </c>
      <c r="AH74" s="1">
        <v>10</v>
      </c>
      <c r="AI74" s="1">
        <v>4</v>
      </c>
      <c r="AJ74" s="1">
        <v>6</v>
      </c>
      <c r="AL74" s="1">
        <f t="shared" si="3"/>
        <v>0</v>
      </c>
    </row>
    <row r="75" spans="1:38" ht="12.75">
      <c r="A75" s="1">
        <v>70</v>
      </c>
      <c r="B75" s="10" t="s">
        <v>286</v>
      </c>
      <c r="C75" s="191">
        <f>VLOOKUP(MID(B75,1,8)-0,'1.6.2023'!$B$9:$G$160,3,FALSE)</f>
        <v>3108.02</v>
      </c>
      <c r="D75" s="191">
        <f>VLOOKUP(MID(B75,1,8)-0,'1.6.2023'!$B$9:$G$160,5,FALSE)</f>
        <v>3078.58</v>
      </c>
      <c r="E75" s="11">
        <f>IF('muut muuttujat'!$G$3=1,C75,KÄYTTÖTAULU!$B$13)</f>
        <v>3108.02</v>
      </c>
      <c r="F75" s="11">
        <f>IF('muut muuttujat'!$G$3=1,D75,KÄYTTÖTAULU!$B$13)</f>
        <v>3078.58</v>
      </c>
      <c r="G75" s="11">
        <f>KÄYTTÖTAULU!$F$6</f>
        <v>0</v>
      </c>
      <c r="H75" s="11">
        <f>KÄYTTÖTAULU!$F$6</f>
        <v>0</v>
      </c>
      <c r="I75" s="11">
        <f t="shared" si="17"/>
        <v>0</v>
      </c>
      <c r="J75" s="11">
        <f t="shared" si="21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t="shared" si="18"/>
        <v>#DIV/0!</v>
      </c>
      <c r="N75" s="1" t="e">
        <f t="shared" si="19"/>
        <v>#DIV/0!</v>
      </c>
      <c r="O75" s="11"/>
      <c r="P75" s="11"/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49">
        <v>6</v>
      </c>
      <c r="X75" s="25">
        <v>1</v>
      </c>
      <c r="Y75" s="25">
        <f t="shared" si="0"/>
        <v>1.06</v>
      </c>
      <c r="Z75" s="25">
        <f t="shared" si="1"/>
        <v>1.0812000000000002</v>
      </c>
      <c r="AA75" s="25">
        <f t="shared" si="2"/>
        <v>1.1893200000000004</v>
      </c>
      <c r="AB75" s="25">
        <f t="shared" si="20"/>
        <v>1.2368928000000003</v>
      </c>
      <c r="AC75" s="49">
        <f t="shared" si="4"/>
        <v>1.3111063680000004</v>
      </c>
      <c r="AE75" s="1">
        <v>0</v>
      </c>
      <c r="AF75" s="1">
        <v>6</v>
      </c>
      <c r="AG75" s="1">
        <v>2</v>
      </c>
      <c r="AH75" s="1">
        <v>10</v>
      </c>
      <c r="AI75" s="1">
        <v>4</v>
      </c>
      <c r="AJ75" s="1">
        <v>6</v>
      </c>
      <c r="AL75" s="1">
        <f t="shared" si="3"/>
        <v>0</v>
      </c>
    </row>
    <row r="76" spans="1:38" ht="12.75">
      <c r="A76" s="1">
        <v>71</v>
      </c>
      <c r="B76" s="10" t="s">
        <v>287</v>
      </c>
      <c r="C76" s="191">
        <f>VLOOKUP(MID(B76,1,8)-0,'1.6.2023'!$B$9:$G$160,3,FALSE)</f>
        <v>2623.02</v>
      </c>
      <c r="D76" s="191">
        <f>VLOOKUP(MID(B76,1,8)-0,'1.6.2023'!$B$9:$G$160,5,FALSE)</f>
        <v>2598.25</v>
      </c>
      <c r="E76" s="11">
        <f>IF('muut muuttujat'!$G$3=1,C76,KÄYTTÖTAULU!$B$13)</f>
        <v>2623.02</v>
      </c>
      <c r="F76" s="11">
        <f>IF('muut muuttujat'!$G$3=1,D76,KÄYTTÖTAULU!$B$13)</f>
        <v>2598.25</v>
      </c>
      <c r="G76" s="11">
        <f>KÄYTTÖTAULU!$F$6</f>
        <v>0</v>
      </c>
      <c r="H76" s="11">
        <f>KÄYTTÖTAULU!$F$6</f>
        <v>0</v>
      </c>
      <c r="I76" s="11">
        <f t="shared" si="17"/>
        <v>0</v>
      </c>
      <c r="J76" s="11">
        <f t="shared" si="21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 t="shared" si="18"/>
        <v>#DIV/0!</v>
      </c>
      <c r="N76" s="1" t="e">
        <f t="shared" si="19"/>
        <v>#DIV/0!</v>
      </c>
      <c r="O76" s="11"/>
      <c r="P76" s="11"/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49">
        <v>6</v>
      </c>
      <c r="X76" s="25">
        <v>1</v>
      </c>
      <c r="Y76" s="25">
        <f t="shared" si="0"/>
        <v>1.06</v>
      </c>
      <c r="Z76" s="25">
        <f t="shared" si="1"/>
        <v>1.0812000000000002</v>
      </c>
      <c r="AA76" s="25">
        <f t="shared" si="2"/>
        <v>1.1893200000000004</v>
      </c>
      <c r="AB76" s="25">
        <f t="shared" si="20"/>
        <v>1.2368928000000003</v>
      </c>
      <c r="AC76" s="49">
        <f t="shared" si="4"/>
        <v>1.3111063680000004</v>
      </c>
      <c r="AE76" s="1">
        <v>0</v>
      </c>
      <c r="AF76" s="1">
        <v>6</v>
      </c>
      <c r="AG76" s="1">
        <v>2</v>
      </c>
      <c r="AH76" s="1">
        <v>10</v>
      </c>
      <c r="AI76" s="1">
        <v>4</v>
      </c>
      <c r="AJ76" s="1">
        <v>6</v>
      </c>
      <c r="AL76" s="1">
        <f aca="true" t="shared" si="22" ref="AL76:AL120">AG76-T76</f>
        <v>0</v>
      </c>
    </row>
    <row r="77" spans="1:38" ht="12.75">
      <c r="A77" s="1">
        <v>72</v>
      </c>
      <c r="B77" s="10" t="s">
        <v>288</v>
      </c>
      <c r="C77" s="191">
        <f>VLOOKUP(MID(B77,1,8)-0,'1.6.2023'!$B$9:$G$160,3,FALSE)</f>
        <v>2324.01</v>
      </c>
      <c r="D77" s="191">
        <f>VLOOKUP(MID(B77,1,8)-0,'1.6.2023'!$B$9:$G$160,5,FALSE)</f>
        <v>2302.51</v>
      </c>
      <c r="E77" s="11">
        <f>IF('muut muuttujat'!$G$3=1,C77,KÄYTTÖTAULU!$B$13)</f>
        <v>2324.01</v>
      </c>
      <c r="F77" s="11">
        <f>IF('muut muuttujat'!$G$3=1,D77,KÄYTTÖTAULU!$B$13)</f>
        <v>2302.51</v>
      </c>
      <c r="G77" s="11">
        <f>KÄYTTÖTAULU!$F$6</f>
        <v>0</v>
      </c>
      <c r="H77" s="11">
        <f>KÄYTTÖTAULU!$F$6</f>
        <v>0</v>
      </c>
      <c r="I77" s="11">
        <f t="shared" si="17"/>
        <v>0</v>
      </c>
      <c r="J77" s="11">
        <f t="shared" si="21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t="shared" si="18"/>
        <v>#DIV/0!</v>
      </c>
      <c r="N77" s="1" t="e">
        <f t="shared" si="19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49">
        <v>6</v>
      </c>
      <c r="X77" s="25">
        <v>1</v>
      </c>
      <c r="Y77" s="25">
        <f t="shared" si="0"/>
        <v>1.06</v>
      </c>
      <c r="Z77" s="25">
        <f t="shared" si="1"/>
        <v>1.0812000000000002</v>
      </c>
      <c r="AA77" s="25">
        <f t="shared" si="2"/>
        <v>1.1893200000000004</v>
      </c>
      <c r="AB77" s="25">
        <f t="shared" si="20"/>
        <v>1.2368928000000003</v>
      </c>
      <c r="AC77" s="49">
        <f t="shared" si="4"/>
        <v>1.3111063680000004</v>
      </c>
      <c r="AE77" s="1">
        <v>0</v>
      </c>
      <c r="AF77" s="1">
        <v>6</v>
      </c>
      <c r="AG77" s="1">
        <v>2</v>
      </c>
      <c r="AH77" s="1">
        <v>10</v>
      </c>
      <c r="AI77" s="1">
        <v>4</v>
      </c>
      <c r="AJ77" s="1">
        <v>6</v>
      </c>
      <c r="AL77" s="1">
        <f t="shared" si="22"/>
        <v>0</v>
      </c>
    </row>
    <row r="78" spans="1:38" ht="12.75">
      <c r="A78" s="1">
        <v>73</v>
      </c>
      <c r="B78" s="10" t="s">
        <v>289</v>
      </c>
      <c r="C78" s="191">
        <f>VLOOKUP(MID(B78,1,8)-0,'1.6.2023'!$B$9:$G$160,3,FALSE)</f>
        <v>3256.61</v>
      </c>
      <c r="D78" s="191">
        <f>VLOOKUP(MID(B78,1,8)-0,'1.6.2023'!$B$9:$G$160,5,FALSE)</f>
        <v>3225.85</v>
      </c>
      <c r="E78" s="11">
        <f>IF('muut muuttujat'!$G$3=1,C78,KÄYTTÖTAULU!$B$13)</f>
        <v>3256.61</v>
      </c>
      <c r="F78" s="11">
        <f>IF('muut muuttujat'!$G$3=1,D78,KÄYTTÖTAULU!$B$13)</f>
        <v>3225.85</v>
      </c>
      <c r="G78" s="11">
        <f>KÄYTTÖTAULU!$F$6</f>
        <v>0</v>
      </c>
      <c r="H78" s="11">
        <f>KÄYTTÖTAULU!$F$6</f>
        <v>0</v>
      </c>
      <c r="I78" s="11">
        <f t="shared" si="17"/>
        <v>0</v>
      </c>
      <c r="J78" s="11">
        <f t="shared" si="21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18"/>
        <v>#DIV/0!</v>
      </c>
      <c r="N78" s="1" t="e">
        <f t="shared" si="19"/>
        <v>#DIV/0!</v>
      </c>
      <c r="O78" s="11" t="e">
        <f>ROUND(ROUND(E78*0.83/KÄYTTÖTAULU!$I$8*12/38,2)*0.96,2)</f>
        <v>#DIV/0!</v>
      </c>
      <c r="P78" s="11" t="e">
        <f>ROUND(ROUND(F78*0.83/KÄYTTÖTAULU!$I$8*12/38,2)*0.96,2)</f>
        <v>#DIV/0!</v>
      </c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49">
        <v>6</v>
      </c>
      <c r="X78" s="25">
        <v>1</v>
      </c>
      <c r="Y78" s="25">
        <f t="shared" si="0"/>
        <v>1.06</v>
      </c>
      <c r="Z78" s="25">
        <f t="shared" si="1"/>
        <v>1.0812000000000002</v>
      </c>
      <c r="AA78" s="25">
        <f t="shared" si="2"/>
        <v>1.1893200000000004</v>
      </c>
      <c r="AB78" s="25">
        <f t="shared" si="20"/>
        <v>1.2368928000000003</v>
      </c>
      <c r="AC78" s="49">
        <f t="shared" si="4"/>
        <v>1.3111063680000004</v>
      </c>
      <c r="AE78" s="1">
        <v>0</v>
      </c>
      <c r="AF78" s="1">
        <v>6</v>
      </c>
      <c r="AG78" s="1">
        <v>2</v>
      </c>
      <c r="AH78" s="1">
        <v>10</v>
      </c>
      <c r="AI78" s="1">
        <v>4</v>
      </c>
      <c r="AJ78" s="1">
        <v>6</v>
      </c>
      <c r="AL78" s="1">
        <f t="shared" si="22"/>
        <v>0</v>
      </c>
    </row>
    <row r="79" spans="1:38" ht="12.75">
      <c r="A79" s="1">
        <v>74</v>
      </c>
      <c r="B79" s="10" t="s">
        <v>290</v>
      </c>
      <c r="C79" s="191">
        <f>VLOOKUP(MID(B79,1,8)-0,'1.6.2023'!$B$9:$G$160,3,FALSE)</f>
        <v>2822.08</v>
      </c>
      <c r="D79" s="191">
        <f>VLOOKUP(MID(B79,1,8)-0,'1.6.2023'!$B$9:$G$160,5,FALSE)</f>
        <v>2795.39</v>
      </c>
      <c r="E79" s="11">
        <f>IF('muut muuttujat'!$G$3=1,C79,KÄYTTÖTAULU!$B$13)</f>
        <v>2822.08</v>
      </c>
      <c r="F79" s="11">
        <f>IF('muut muuttujat'!$G$3=1,D79,KÄYTTÖTAULU!$B$13)</f>
        <v>2795.39</v>
      </c>
      <c r="G79" s="11">
        <f>KÄYTTÖTAULU!$F$6</f>
        <v>0</v>
      </c>
      <c r="H79" s="11">
        <f>KÄYTTÖTAULU!$F$6</f>
        <v>0</v>
      </c>
      <c r="I79" s="11">
        <f t="shared" si="17"/>
        <v>0</v>
      </c>
      <c r="J79" s="11">
        <f t="shared" si="21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t="shared" si="18"/>
        <v>#DIV/0!</v>
      </c>
      <c r="N79" s="1" t="e">
        <f t="shared" si="19"/>
        <v>#DIV/0!</v>
      </c>
      <c r="O79" s="11" t="e">
        <f>ROUND(ROUND(E79*0.83/KÄYTTÖTAULU!$I$8*12/38,2)*0.96,2)</f>
        <v>#DIV/0!</v>
      </c>
      <c r="P79" s="11" t="e">
        <f>ROUND(ROUND(F79*0.83/KÄYTTÖTAULU!$I$8*12/38,2)*0.96,2)</f>
        <v>#DIV/0!</v>
      </c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49">
        <v>6</v>
      </c>
      <c r="X79" s="25">
        <v>1</v>
      </c>
      <c r="Y79" s="25">
        <f t="shared" si="0"/>
        <v>1.06</v>
      </c>
      <c r="Z79" s="25">
        <f t="shared" si="1"/>
        <v>1.0812000000000002</v>
      </c>
      <c r="AA79" s="25">
        <f t="shared" si="2"/>
        <v>1.1893200000000004</v>
      </c>
      <c r="AB79" s="25">
        <f t="shared" si="20"/>
        <v>1.2368928000000003</v>
      </c>
      <c r="AC79" s="49">
        <f t="shared" si="4"/>
        <v>1.3111063680000004</v>
      </c>
      <c r="AE79" s="1">
        <v>0</v>
      </c>
      <c r="AF79" s="1">
        <v>6</v>
      </c>
      <c r="AG79" s="1">
        <v>2</v>
      </c>
      <c r="AH79" s="1">
        <v>10</v>
      </c>
      <c r="AI79" s="1">
        <v>4</v>
      </c>
      <c r="AJ79" s="1">
        <v>6</v>
      </c>
      <c r="AL79" s="1">
        <f t="shared" si="22"/>
        <v>0</v>
      </c>
    </row>
    <row r="80" spans="1:38" ht="12.75">
      <c r="A80" s="1">
        <v>75</v>
      </c>
      <c r="B80" s="10" t="s">
        <v>291</v>
      </c>
      <c r="C80" s="191">
        <f>VLOOKUP(MID(B80,1,8)-0,'1.6.2023'!$B$9:$G$160,3,FALSE)</f>
        <v>2507.03</v>
      </c>
      <c r="D80" s="191">
        <f>VLOOKUP(MID(B80,1,8)-0,'1.6.2023'!$B$9:$G$160,5,FALSE)</f>
        <v>2483.31</v>
      </c>
      <c r="E80" s="11">
        <f>IF('muut muuttujat'!$G$3=1,C80,KÄYTTÖTAULU!$B$13)</f>
        <v>2507.03</v>
      </c>
      <c r="F80" s="11">
        <f>IF('muut muuttujat'!$G$3=1,D80,KÄYTTÖTAULU!$B$13)</f>
        <v>2483.31</v>
      </c>
      <c r="G80" s="11">
        <f>KÄYTTÖTAULU!$F$6</f>
        <v>0</v>
      </c>
      <c r="H80" s="11">
        <f>KÄYTTÖTAULU!$F$6</f>
        <v>0</v>
      </c>
      <c r="I80" s="11">
        <f t="shared" si="17"/>
        <v>0</v>
      </c>
      <c r="J80" s="11">
        <f t="shared" si="21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18"/>
        <v>#DIV/0!</v>
      </c>
      <c r="N80" s="1" t="e">
        <f t="shared" si="19"/>
        <v>#DIV/0!</v>
      </c>
      <c r="O80" s="11" t="e">
        <f>ROUND(ROUND(E80*0.83/KÄYTTÖTAULU!$I$8*12/38,2)*0.96,2)</f>
        <v>#DIV/0!</v>
      </c>
      <c r="P80" s="11" t="e">
        <f>ROUND(ROUND(F80*0.83/KÄYTTÖTAULU!$I$8*12/38,2)*0.96,2)</f>
        <v>#DIV/0!</v>
      </c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49">
        <v>6</v>
      </c>
      <c r="X80" s="25">
        <v>1</v>
      </c>
      <c r="Y80" s="25">
        <f t="shared" si="0"/>
        <v>1.06</v>
      </c>
      <c r="Z80" s="25">
        <f t="shared" si="1"/>
        <v>1.0812000000000002</v>
      </c>
      <c r="AA80" s="25">
        <f t="shared" si="2"/>
        <v>1.1893200000000004</v>
      </c>
      <c r="AB80" s="25">
        <f t="shared" si="20"/>
        <v>1.2368928000000003</v>
      </c>
      <c r="AC80" s="49">
        <f t="shared" si="4"/>
        <v>1.3111063680000004</v>
      </c>
      <c r="AE80" s="1">
        <v>0</v>
      </c>
      <c r="AF80" s="1">
        <v>6</v>
      </c>
      <c r="AG80" s="1">
        <v>2</v>
      </c>
      <c r="AH80" s="1">
        <v>10</v>
      </c>
      <c r="AI80" s="1">
        <v>4</v>
      </c>
      <c r="AJ80" s="1">
        <v>6</v>
      </c>
      <c r="AL80" s="1">
        <f t="shared" si="22"/>
        <v>0</v>
      </c>
    </row>
    <row r="81" spans="1:38" ht="12.75">
      <c r="A81" s="1">
        <v>76</v>
      </c>
      <c r="B81" s="10" t="s">
        <v>292</v>
      </c>
      <c r="C81" s="191">
        <f>VLOOKUP(MID(B81,1,8)-0,'1.6.2023'!$B$9:$G$160,3,FALSE)</f>
        <v>2324.01</v>
      </c>
      <c r="D81" s="191">
        <f>VLOOKUP(MID(B81,1,8)-0,'1.6.2023'!$B$9:$G$160,5,FALSE)</f>
        <v>2302.51</v>
      </c>
      <c r="E81" s="11">
        <f>IF('muut muuttujat'!$G$3=1,C81,KÄYTTÖTAULU!$B$13)</f>
        <v>2324.01</v>
      </c>
      <c r="F81" s="11">
        <f>IF('muut muuttujat'!$G$3=1,D81,KÄYTTÖTAULU!$B$13)</f>
        <v>2302.51</v>
      </c>
      <c r="G81" s="11">
        <f>KÄYTTÖTAULU!$F$6</f>
        <v>0</v>
      </c>
      <c r="H81" s="11">
        <f>KÄYTTÖTAULU!$F$6</f>
        <v>0</v>
      </c>
      <c r="I81" s="11">
        <f aca="true" t="shared" si="23" ref="I81:I89">G81*0.83</f>
        <v>0</v>
      </c>
      <c r="J81" s="11">
        <f t="shared" si="21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>ROUND(K81*(12/38),2)</f>
        <v>#DIV/0!</v>
      </c>
      <c r="N81" s="1" t="e">
        <f>ROUND(L81*(12/38),2)</f>
        <v>#DIV/0!</v>
      </c>
      <c r="O81" s="11" t="e">
        <f>ROUND(ROUND(E81*0.83/KÄYTTÖTAULU!$I$8*12/38,2)*0.96,2)</f>
        <v>#DIV/0!</v>
      </c>
      <c r="P81" s="11" t="e">
        <f>ROUND(ROUND(F81*0.83/KÄYTTÖTAULU!$I$8*12/38,2)*0.96,2)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49">
        <v>6</v>
      </c>
      <c r="X81" s="25">
        <v>1</v>
      </c>
      <c r="Y81" s="25">
        <f aca="true" t="shared" si="24" ref="Y81:Y92">1+S81/100</f>
        <v>1.06</v>
      </c>
      <c r="Z81" s="25">
        <f aca="true" t="shared" si="25" ref="Z81:Z92">(1+T81/100)*Y81</f>
        <v>1.0812000000000002</v>
      </c>
      <c r="AA81" s="25">
        <f aca="true" t="shared" si="26" ref="AA81:AA92">(1+U81/100)*Z81</f>
        <v>1.1893200000000004</v>
      </c>
      <c r="AB81" s="25">
        <f t="shared" si="20"/>
        <v>1.2368928000000003</v>
      </c>
      <c r="AC81" s="49">
        <f t="shared" si="4"/>
        <v>1.3111063680000004</v>
      </c>
      <c r="AE81" s="1">
        <v>0</v>
      </c>
      <c r="AF81" s="1">
        <v>6</v>
      </c>
      <c r="AG81" s="1">
        <v>2</v>
      </c>
      <c r="AH81" s="1">
        <v>10</v>
      </c>
      <c r="AI81" s="1">
        <v>4</v>
      </c>
      <c r="AJ81" s="1">
        <v>6</v>
      </c>
      <c r="AL81" s="1">
        <f t="shared" si="22"/>
        <v>0</v>
      </c>
    </row>
    <row r="82" spans="1:38" ht="12.75">
      <c r="A82" s="1">
        <v>77</v>
      </c>
      <c r="B82" s="10" t="s">
        <v>293</v>
      </c>
      <c r="C82" s="191">
        <f>VLOOKUP(MID(B82,1,8)-0,'1.6.2023'!$B$9:$G$160,3,FALSE)</f>
        <v>3256.61</v>
      </c>
      <c r="D82" s="191">
        <f>VLOOKUP(MID(B82,1,8)-0,'1.6.2023'!$B$9:$G$160,5,FALSE)</f>
        <v>3225.85</v>
      </c>
      <c r="E82" s="11">
        <f>IF('muut muuttujat'!$G$3=1,C82,KÄYTTÖTAULU!$B$13)</f>
        <v>3256.61</v>
      </c>
      <c r="F82" s="11">
        <f>IF('muut muuttujat'!$G$3=1,D82,KÄYTTÖTAULU!$B$13)</f>
        <v>3225.85</v>
      </c>
      <c r="G82" s="11">
        <f>KÄYTTÖTAULU!$F$6</f>
        <v>0</v>
      </c>
      <c r="H82" s="11">
        <f>KÄYTTÖTAULU!$F$6</f>
        <v>0</v>
      </c>
      <c r="I82" s="11">
        <f t="shared" si="23"/>
        <v>0</v>
      </c>
      <c r="J82" s="11">
        <f t="shared" si="21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aca="true" t="shared" si="27" ref="M82:N85">ROUND(K82*(12/33),2)</f>
        <v>#DIV/0!</v>
      </c>
      <c r="N82" s="1" t="e">
        <f t="shared" si="27"/>
        <v>#DIV/0!</v>
      </c>
      <c r="O82" s="11"/>
      <c r="P82" s="11"/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49">
        <v>6</v>
      </c>
      <c r="X82" s="25">
        <v>1</v>
      </c>
      <c r="Y82" s="25">
        <f t="shared" si="24"/>
        <v>1.06</v>
      </c>
      <c r="Z82" s="25">
        <f t="shared" si="25"/>
        <v>1.0812000000000002</v>
      </c>
      <c r="AA82" s="25">
        <f t="shared" si="26"/>
        <v>1.1893200000000004</v>
      </c>
      <c r="AB82" s="25">
        <f t="shared" si="20"/>
        <v>1.2368928000000003</v>
      </c>
      <c r="AC82" s="49">
        <f aca="true" t="shared" si="28" ref="AC82:AC92">(1+W82/100)*AB82</f>
        <v>1.3111063680000004</v>
      </c>
      <c r="AE82" s="1">
        <v>0</v>
      </c>
      <c r="AF82" s="1">
        <v>6</v>
      </c>
      <c r="AG82" s="1">
        <v>2</v>
      </c>
      <c r="AH82" s="1">
        <v>10</v>
      </c>
      <c r="AI82" s="1">
        <v>4</v>
      </c>
      <c r="AJ82" s="1">
        <v>6</v>
      </c>
      <c r="AL82" s="1">
        <f t="shared" si="22"/>
        <v>0</v>
      </c>
    </row>
    <row r="83" spans="1:38" ht="12.75">
      <c r="A83" s="1">
        <v>78</v>
      </c>
      <c r="B83" s="10" t="s">
        <v>294</v>
      </c>
      <c r="C83" s="191">
        <f>VLOOKUP(MID(B83,1,8)-0,'1.6.2023'!$B$9:$G$160,3,FALSE)</f>
        <v>3104.99</v>
      </c>
      <c r="D83" s="191">
        <f>VLOOKUP(MID(B83,1,8)-0,'1.6.2023'!$B$9:$G$160,5,FALSE)</f>
        <v>3075.59</v>
      </c>
      <c r="E83" s="11">
        <f>IF('muut muuttujat'!$G$3=1,C83,KÄYTTÖTAULU!$B$13)</f>
        <v>3104.99</v>
      </c>
      <c r="F83" s="11">
        <f>IF('muut muuttujat'!$G$3=1,D83,KÄYTTÖTAULU!$B$13)</f>
        <v>3075.59</v>
      </c>
      <c r="G83" s="11">
        <f>KÄYTTÖTAULU!$F$6</f>
        <v>0</v>
      </c>
      <c r="H83" s="11">
        <f>KÄYTTÖTAULU!$F$6</f>
        <v>0</v>
      </c>
      <c r="I83" s="11">
        <f t="shared" si="23"/>
        <v>0</v>
      </c>
      <c r="J83" s="11">
        <f t="shared" si="21"/>
        <v>0</v>
      </c>
      <c r="K83" s="1" t="e">
        <f>ROUND(I83/KÄYTTÖTAULU!$I$8,2)</f>
        <v>#DIV/0!</v>
      </c>
      <c r="L83" s="1" t="e">
        <f>ROUND(J83/KÄYTTÖTAULU!$I$8,2)</f>
        <v>#DIV/0!</v>
      </c>
      <c r="M83" s="1" t="e">
        <f t="shared" si="27"/>
        <v>#DIV/0!</v>
      </c>
      <c r="N83" s="1" t="e">
        <f t="shared" si="27"/>
        <v>#DIV/0!</v>
      </c>
      <c r="O83" s="11"/>
      <c r="P83" s="11"/>
      <c r="Q83" s="11"/>
      <c r="R83" s="24">
        <v>0</v>
      </c>
      <c r="S83" s="25">
        <v>6</v>
      </c>
      <c r="T83" s="25">
        <v>2</v>
      </c>
      <c r="U83" s="25">
        <v>10</v>
      </c>
      <c r="V83" s="25">
        <v>4</v>
      </c>
      <c r="W83" s="49">
        <v>6</v>
      </c>
      <c r="X83" s="25">
        <v>1</v>
      </c>
      <c r="Y83" s="25">
        <f t="shared" si="24"/>
        <v>1.06</v>
      </c>
      <c r="Z83" s="25">
        <f t="shared" si="25"/>
        <v>1.0812000000000002</v>
      </c>
      <c r="AA83" s="25">
        <f t="shared" si="26"/>
        <v>1.1893200000000004</v>
      </c>
      <c r="AB83" s="25">
        <f t="shared" si="20"/>
        <v>1.2368928000000003</v>
      </c>
      <c r="AC83" s="49">
        <f t="shared" si="28"/>
        <v>1.3111063680000004</v>
      </c>
      <c r="AE83" s="1">
        <v>0</v>
      </c>
      <c r="AF83" s="1">
        <v>6</v>
      </c>
      <c r="AG83" s="1">
        <v>2</v>
      </c>
      <c r="AH83" s="1">
        <v>10</v>
      </c>
      <c r="AI83" s="1">
        <v>4</v>
      </c>
      <c r="AJ83" s="1">
        <v>6</v>
      </c>
      <c r="AL83" s="1">
        <f t="shared" si="22"/>
        <v>0</v>
      </c>
    </row>
    <row r="84" spans="1:38" ht="12.75">
      <c r="A84" s="1">
        <v>79</v>
      </c>
      <c r="B84" s="10" t="s">
        <v>295</v>
      </c>
      <c r="C84" s="191">
        <f>VLOOKUP(MID(B84,1,8)-0,'1.6.2023'!$B$9:$G$160,3,FALSE)</f>
        <v>2625.63</v>
      </c>
      <c r="D84" s="191">
        <f>VLOOKUP(MID(B84,1,8)-0,'1.6.2023'!$B$9:$G$160,5,FALSE)</f>
        <v>2600.84</v>
      </c>
      <c r="E84" s="11">
        <f>IF('muut muuttujat'!$G$3=1,C84,KÄYTTÖTAULU!$B$13)</f>
        <v>2625.63</v>
      </c>
      <c r="F84" s="11">
        <f>IF('muut muuttujat'!$G$3=1,D84,KÄYTTÖTAULU!$B$13)</f>
        <v>2600.84</v>
      </c>
      <c r="G84" s="11">
        <f>KÄYTTÖTAULU!$F$6</f>
        <v>0</v>
      </c>
      <c r="H84" s="11">
        <f>KÄYTTÖTAULU!$F$6</f>
        <v>0</v>
      </c>
      <c r="I84" s="11">
        <f t="shared" si="23"/>
        <v>0</v>
      </c>
      <c r="J84" s="11">
        <f t="shared" si="21"/>
        <v>0</v>
      </c>
      <c r="K84" s="1" t="e">
        <f>ROUND(I84/KÄYTTÖTAULU!$I$8,2)</f>
        <v>#DIV/0!</v>
      </c>
      <c r="L84" s="1" t="e">
        <f>ROUND(J84/KÄYTTÖTAULU!$I$8,2)</f>
        <v>#DIV/0!</v>
      </c>
      <c r="M84" s="1" t="e">
        <f t="shared" si="27"/>
        <v>#DIV/0!</v>
      </c>
      <c r="N84" s="1" t="e">
        <f t="shared" si="27"/>
        <v>#DIV/0!</v>
      </c>
      <c r="O84" s="11"/>
      <c r="P84" s="11"/>
      <c r="Q84" s="11"/>
      <c r="R84" s="24">
        <v>0</v>
      </c>
      <c r="S84" s="25">
        <v>6</v>
      </c>
      <c r="T84" s="25">
        <v>2</v>
      </c>
      <c r="U84" s="25">
        <v>10</v>
      </c>
      <c r="V84" s="25">
        <v>4</v>
      </c>
      <c r="W84" s="49">
        <v>6</v>
      </c>
      <c r="X84" s="25">
        <v>1</v>
      </c>
      <c r="Y84" s="25">
        <f t="shared" si="24"/>
        <v>1.06</v>
      </c>
      <c r="Z84" s="25">
        <f t="shared" si="25"/>
        <v>1.0812000000000002</v>
      </c>
      <c r="AA84" s="25">
        <f t="shared" si="26"/>
        <v>1.1893200000000004</v>
      </c>
      <c r="AB84" s="25">
        <f t="shared" si="20"/>
        <v>1.2368928000000003</v>
      </c>
      <c r="AC84" s="49">
        <f t="shared" si="28"/>
        <v>1.3111063680000004</v>
      </c>
      <c r="AE84" s="1">
        <v>0</v>
      </c>
      <c r="AF84" s="1">
        <v>6</v>
      </c>
      <c r="AG84" s="1">
        <v>2</v>
      </c>
      <c r="AH84" s="1">
        <v>10</v>
      </c>
      <c r="AI84" s="1">
        <v>4</v>
      </c>
      <c r="AJ84" s="1">
        <v>6</v>
      </c>
      <c r="AL84" s="1">
        <f t="shared" si="22"/>
        <v>0</v>
      </c>
    </row>
    <row r="85" spans="1:38" ht="12.75">
      <c r="A85" s="1">
        <v>80</v>
      </c>
      <c r="B85" s="10" t="s">
        <v>296</v>
      </c>
      <c r="C85" s="191">
        <f>VLOOKUP(MID(B85,1,8)-0,'1.6.2023'!$B$9:$G$160,3,FALSE)</f>
        <v>2325.15</v>
      </c>
      <c r="D85" s="191">
        <f>VLOOKUP(MID(B85,1,8)-0,'1.6.2023'!$B$9:$G$160,5,FALSE)</f>
        <v>2303.63</v>
      </c>
      <c r="E85" s="11">
        <f>IF('muut muuttujat'!$G$3=1,C85,KÄYTTÖTAULU!$B$13)</f>
        <v>2325.15</v>
      </c>
      <c r="F85" s="11">
        <f>IF('muut muuttujat'!$G$3=1,D85,KÄYTTÖTAULU!$B$13)</f>
        <v>2303.63</v>
      </c>
      <c r="G85" s="11">
        <f>KÄYTTÖTAULU!$F$6</f>
        <v>0</v>
      </c>
      <c r="H85" s="11">
        <f>KÄYTTÖTAULU!$F$6</f>
        <v>0</v>
      </c>
      <c r="I85" s="11">
        <f t="shared" si="23"/>
        <v>0</v>
      </c>
      <c r="J85" s="11">
        <f t="shared" si="21"/>
        <v>0</v>
      </c>
      <c r="K85" s="1" t="e">
        <f>ROUND(I85/KÄYTTÖTAULU!$I$8,2)</f>
        <v>#DIV/0!</v>
      </c>
      <c r="L85" s="1" t="e">
        <f>ROUND(J85/KÄYTTÖTAULU!$I$8,2)</f>
        <v>#DIV/0!</v>
      </c>
      <c r="M85" s="1" t="e">
        <f t="shared" si="27"/>
        <v>#DIV/0!</v>
      </c>
      <c r="N85" s="1" t="e">
        <f t="shared" si="27"/>
        <v>#DIV/0!</v>
      </c>
      <c r="O85" s="11"/>
      <c r="P85" s="11"/>
      <c r="Q85" s="11"/>
      <c r="R85" s="24">
        <v>0</v>
      </c>
      <c r="S85" s="25">
        <v>6</v>
      </c>
      <c r="T85" s="25">
        <v>2</v>
      </c>
      <c r="U85" s="25">
        <v>10</v>
      </c>
      <c r="V85" s="25">
        <v>4</v>
      </c>
      <c r="W85" s="49">
        <v>6</v>
      </c>
      <c r="X85" s="25">
        <v>1</v>
      </c>
      <c r="Y85" s="25">
        <f t="shared" si="24"/>
        <v>1.06</v>
      </c>
      <c r="Z85" s="25">
        <f t="shared" si="25"/>
        <v>1.0812000000000002</v>
      </c>
      <c r="AA85" s="25">
        <f t="shared" si="26"/>
        <v>1.1893200000000004</v>
      </c>
      <c r="AB85" s="25">
        <f t="shared" si="20"/>
        <v>1.2368928000000003</v>
      </c>
      <c r="AC85" s="49">
        <f t="shared" si="28"/>
        <v>1.3111063680000004</v>
      </c>
      <c r="AE85" s="1">
        <v>0</v>
      </c>
      <c r="AF85" s="1">
        <v>6</v>
      </c>
      <c r="AG85" s="1">
        <v>2</v>
      </c>
      <c r="AH85" s="1">
        <v>10</v>
      </c>
      <c r="AI85" s="1">
        <v>4</v>
      </c>
      <c r="AJ85" s="1">
        <v>6</v>
      </c>
      <c r="AL85" s="1">
        <f t="shared" si="22"/>
        <v>0</v>
      </c>
    </row>
    <row r="86" spans="1:38" ht="12.75">
      <c r="A86" s="1">
        <v>81</v>
      </c>
      <c r="B86" s="10" t="s">
        <v>297</v>
      </c>
      <c r="C86" s="191">
        <f>VLOOKUP(MID(B86,1,8)-0,'1.6.2023'!$B$9:$G$160,3,FALSE)</f>
        <v>3256.61</v>
      </c>
      <c r="D86" s="191">
        <f>VLOOKUP(MID(B86,1,8)-0,'1.6.2023'!$B$9:$G$160,5,FALSE)</f>
        <v>3225.85</v>
      </c>
      <c r="E86" s="11">
        <f>IF('muut muuttujat'!$G$3=1,C86,KÄYTTÖTAULU!$B$13)</f>
        <v>3256.61</v>
      </c>
      <c r="F86" s="11">
        <f>IF('muut muuttujat'!$G$3=1,D86,KÄYTTÖTAULU!$B$13)</f>
        <v>3225.85</v>
      </c>
      <c r="G86" s="11">
        <f>KÄYTTÖTAULU!$F$6</f>
        <v>0</v>
      </c>
      <c r="H86" s="11">
        <f>KÄYTTÖTAULU!$F$6</f>
        <v>0</v>
      </c>
      <c r="I86" s="11">
        <f t="shared" si="23"/>
        <v>0</v>
      </c>
      <c r="J86" s="11">
        <f t="shared" si="21"/>
        <v>0</v>
      </c>
      <c r="K86" s="1" t="e">
        <f>ROUND(I86/KÄYTTÖTAULU!$I$8,2)</f>
        <v>#DIV/0!</v>
      </c>
      <c r="L86" s="1" t="e">
        <f>ROUND(J86/KÄYTTÖTAULU!$I$8,2)</f>
        <v>#DIV/0!</v>
      </c>
      <c r="M86" s="1" t="e">
        <f aca="true" t="shared" si="29" ref="M86:N89">ROUND(K86*(12/33),2)</f>
        <v>#DIV/0!</v>
      </c>
      <c r="N86" s="1" t="e">
        <f t="shared" si="29"/>
        <v>#DIV/0!</v>
      </c>
      <c r="O86" s="11" t="e">
        <f>ROUND(ROUND(E86*0.83/KÄYTTÖTAULU!$I$8*12/33,2)*0.96,2)</f>
        <v>#DIV/0!</v>
      </c>
      <c r="P86" s="11" t="e">
        <f>ROUND(ROUND(F86*0.83/KÄYTTÖTAULU!$I$8*12/33,2)*0.96,2)</f>
        <v>#DIV/0!</v>
      </c>
      <c r="Q86" s="11"/>
      <c r="R86" s="24">
        <v>0</v>
      </c>
      <c r="S86" s="25">
        <v>6</v>
      </c>
      <c r="T86" s="25">
        <v>2</v>
      </c>
      <c r="U86" s="25">
        <v>10</v>
      </c>
      <c r="V86" s="25">
        <v>4</v>
      </c>
      <c r="W86" s="49">
        <v>6</v>
      </c>
      <c r="X86" s="25">
        <v>1</v>
      </c>
      <c r="Y86" s="25">
        <f t="shared" si="24"/>
        <v>1.06</v>
      </c>
      <c r="Z86" s="25">
        <f t="shared" si="25"/>
        <v>1.0812000000000002</v>
      </c>
      <c r="AA86" s="25">
        <f t="shared" si="26"/>
        <v>1.1893200000000004</v>
      </c>
      <c r="AB86" s="25">
        <f t="shared" si="20"/>
        <v>1.2368928000000003</v>
      </c>
      <c r="AC86" s="49">
        <f t="shared" si="28"/>
        <v>1.3111063680000004</v>
      </c>
      <c r="AE86" s="1">
        <v>0</v>
      </c>
      <c r="AF86" s="1">
        <v>6</v>
      </c>
      <c r="AG86" s="1">
        <v>2</v>
      </c>
      <c r="AH86" s="1">
        <v>10</v>
      </c>
      <c r="AI86" s="1">
        <v>4</v>
      </c>
      <c r="AJ86" s="1">
        <v>6</v>
      </c>
      <c r="AL86" s="1">
        <f t="shared" si="22"/>
        <v>0</v>
      </c>
    </row>
    <row r="87" spans="1:38" ht="12.75">
      <c r="A87" s="1">
        <v>82</v>
      </c>
      <c r="B87" s="10" t="s">
        <v>298</v>
      </c>
      <c r="C87" s="191">
        <f>VLOOKUP(MID(B87,1,8)-0,'1.6.2023'!$B$9:$G$160,3,FALSE)</f>
        <v>2822.08</v>
      </c>
      <c r="D87" s="191">
        <f>VLOOKUP(MID(B87,1,8)-0,'1.6.2023'!$B$9:$G$160,5,FALSE)</f>
        <v>2795.39</v>
      </c>
      <c r="E87" s="11">
        <f>IF('muut muuttujat'!$G$3=1,C87,KÄYTTÖTAULU!$B$13)</f>
        <v>2822.08</v>
      </c>
      <c r="F87" s="11">
        <f>IF('muut muuttujat'!$G$3=1,D87,KÄYTTÖTAULU!$B$13)</f>
        <v>2795.39</v>
      </c>
      <c r="G87" s="11">
        <f>KÄYTTÖTAULU!$F$6</f>
        <v>0</v>
      </c>
      <c r="H87" s="11">
        <f>KÄYTTÖTAULU!$F$6</f>
        <v>0</v>
      </c>
      <c r="I87" s="11">
        <f t="shared" si="23"/>
        <v>0</v>
      </c>
      <c r="J87" s="11">
        <f t="shared" si="21"/>
        <v>0</v>
      </c>
      <c r="K87" s="1" t="e">
        <f>ROUND(I87/KÄYTTÖTAULU!$I$8,2)</f>
        <v>#DIV/0!</v>
      </c>
      <c r="L87" s="1" t="e">
        <f>ROUND(J87/KÄYTTÖTAULU!$I$8,2)</f>
        <v>#DIV/0!</v>
      </c>
      <c r="M87" s="1" t="e">
        <f t="shared" si="29"/>
        <v>#DIV/0!</v>
      </c>
      <c r="N87" s="1" t="e">
        <f t="shared" si="29"/>
        <v>#DIV/0!</v>
      </c>
      <c r="O87" s="11" t="e">
        <f>ROUND(ROUND(E87*0.83/KÄYTTÖTAULU!$I$8*12/33,2)*0.96,2)</f>
        <v>#DIV/0!</v>
      </c>
      <c r="P87" s="11" t="e">
        <f>ROUND(ROUND(F87*0.83/KÄYTTÖTAULU!$I$8*12/33,2)*0.96,2)</f>
        <v>#DIV/0!</v>
      </c>
      <c r="Q87" s="11"/>
      <c r="R87" s="24">
        <v>0</v>
      </c>
      <c r="S87" s="25">
        <v>6</v>
      </c>
      <c r="T87" s="25">
        <v>2</v>
      </c>
      <c r="U87" s="25">
        <v>10</v>
      </c>
      <c r="V87" s="25">
        <v>4</v>
      </c>
      <c r="W87" s="49">
        <v>6</v>
      </c>
      <c r="X87" s="25">
        <v>1</v>
      </c>
      <c r="Y87" s="25">
        <f t="shared" si="24"/>
        <v>1.06</v>
      </c>
      <c r="Z87" s="25">
        <f t="shared" si="25"/>
        <v>1.0812000000000002</v>
      </c>
      <c r="AA87" s="25">
        <f t="shared" si="26"/>
        <v>1.1893200000000004</v>
      </c>
      <c r="AB87" s="25">
        <f t="shared" si="20"/>
        <v>1.2368928000000003</v>
      </c>
      <c r="AC87" s="49">
        <f t="shared" si="28"/>
        <v>1.3111063680000004</v>
      </c>
      <c r="AE87" s="1">
        <v>0</v>
      </c>
      <c r="AF87" s="1">
        <v>6</v>
      </c>
      <c r="AG87" s="1">
        <v>2</v>
      </c>
      <c r="AH87" s="1">
        <v>10</v>
      </c>
      <c r="AI87" s="1">
        <v>4</v>
      </c>
      <c r="AJ87" s="1">
        <v>6</v>
      </c>
      <c r="AL87" s="1">
        <f t="shared" si="22"/>
        <v>0</v>
      </c>
    </row>
    <row r="88" spans="1:38" ht="12.75">
      <c r="A88" s="1">
        <v>83</v>
      </c>
      <c r="B88" s="10" t="s">
        <v>299</v>
      </c>
      <c r="C88" s="191">
        <f>VLOOKUP(MID(B88,1,8)-0,'1.6.2023'!$B$9:$G$160,3,FALSE)</f>
        <v>2507.03</v>
      </c>
      <c r="D88" s="191">
        <f>VLOOKUP(MID(B88,1,8)-0,'1.6.2023'!$B$9:$G$160,5,FALSE)</f>
        <v>2483.31</v>
      </c>
      <c r="E88" s="11">
        <f>IF('muut muuttujat'!$G$3=1,C88,KÄYTTÖTAULU!$B$13)</f>
        <v>2507.03</v>
      </c>
      <c r="F88" s="11">
        <f>IF('muut muuttujat'!$G$3=1,D88,KÄYTTÖTAULU!$B$13)</f>
        <v>2483.31</v>
      </c>
      <c r="G88" s="11">
        <f>KÄYTTÖTAULU!$F$6</f>
        <v>0</v>
      </c>
      <c r="H88" s="11">
        <f>KÄYTTÖTAULU!$F$6</f>
        <v>0</v>
      </c>
      <c r="I88" s="11">
        <f t="shared" si="23"/>
        <v>0</v>
      </c>
      <c r="J88" s="11">
        <f t="shared" si="21"/>
        <v>0</v>
      </c>
      <c r="K88" s="1" t="e">
        <f>ROUND(I88/KÄYTTÖTAULU!$I$8,2)</f>
        <v>#DIV/0!</v>
      </c>
      <c r="L88" s="1" t="e">
        <f>ROUND(J88/KÄYTTÖTAULU!$I$8,2)</f>
        <v>#DIV/0!</v>
      </c>
      <c r="M88" s="1" t="e">
        <f t="shared" si="29"/>
        <v>#DIV/0!</v>
      </c>
      <c r="N88" s="1" t="e">
        <f t="shared" si="29"/>
        <v>#DIV/0!</v>
      </c>
      <c r="O88" s="11" t="e">
        <f>ROUND(ROUND(E88*0.83/KÄYTTÖTAULU!$I$8*12/33,2)*0.96,2)</f>
        <v>#DIV/0!</v>
      </c>
      <c r="P88" s="11" t="e">
        <f>ROUND(ROUND(F88*0.83/KÄYTTÖTAULU!$I$8*12/33,2)*0.96,2)</f>
        <v>#DIV/0!</v>
      </c>
      <c r="Q88" s="11"/>
      <c r="R88" s="24">
        <v>0</v>
      </c>
      <c r="S88" s="25">
        <v>6</v>
      </c>
      <c r="T88" s="25">
        <v>2</v>
      </c>
      <c r="U88" s="25">
        <v>10</v>
      </c>
      <c r="V88" s="25">
        <v>4</v>
      </c>
      <c r="W88" s="49">
        <v>6</v>
      </c>
      <c r="X88" s="25">
        <v>1</v>
      </c>
      <c r="Y88" s="25">
        <f t="shared" si="24"/>
        <v>1.06</v>
      </c>
      <c r="Z88" s="25">
        <f t="shared" si="25"/>
        <v>1.0812000000000002</v>
      </c>
      <c r="AA88" s="25">
        <f t="shared" si="26"/>
        <v>1.1893200000000004</v>
      </c>
      <c r="AB88" s="25">
        <f t="shared" si="20"/>
        <v>1.2368928000000003</v>
      </c>
      <c r="AC88" s="49">
        <f t="shared" si="28"/>
        <v>1.3111063680000004</v>
      </c>
      <c r="AE88" s="1">
        <v>0</v>
      </c>
      <c r="AF88" s="1">
        <v>6</v>
      </c>
      <c r="AG88" s="1">
        <v>2</v>
      </c>
      <c r="AH88" s="1">
        <v>10</v>
      </c>
      <c r="AI88" s="1">
        <v>4</v>
      </c>
      <c r="AJ88" s="1">
        <v>6</v>
      </c>
      <c r="AL88" s="1">
        <f t="shared" si="22"/>
        <v>0</v>
      </c>
    </row>
    <row r="89" spans="1:38" ht="12.75">
      <c r="A89" s="1">
        <v>84</v>
      </c>
      <c r="B89" s="10" t="s">
        <v>300</v>
      </c>
      <c r="C89" s="191">
        <f>VLOOKUP(MID(B89,1,8)-0,'1.6.2023'!$B$9:$G$160,3,FALSE)</f>
        <v>2324.01</v>
      </c>
      <c r="D89" s="191">
        <f>VLOOKUP(MID(B89,1,8)-0,'1.6.2023'!$B$9:$G$160,5,FALSE)</f>
        <v>2302.51</v>
      </c>
      <c r="E89" s="11">
        <f>IF('muut muuttujat'!$G$3=1,C89,KÄYTTÖTAULU!$B$13)</f>
        <v>2324.01</v>
      </c>
      <c r="F89" s="11">
        <f>IF('muut muuttujat'!$G$3=1,D89,KÄYTTÖTAULU!$B$13)</f>
        <v>2302.51</v>
      </c>
      <c r="G89" s="11">
        <f>KÄYTTÖTAULU!$F$6</f>
        <v>0</v>
      </c>
      <c r="H89" s="11">
        <f>KÄYTTÖTAULU!$F$6</f>
        <v>0</v>
      </c>
      <c r="I89" s="11">
        <f t="shared" si="23"/>
        <v>0</v>
      </c>
      <c r="J89" s="11">
        <f t="shared" si="21"/>
        <v>0</v>
      </c>
      <c r="K89" s="1" t="e">
        <f>ROUND(I89/KÄYTTÖTAULU!$I$8,2)</f>
        <v>#DIV/0!</v>
      </c>
      <c r="L89" s="1" t="e">
        <f>ROUND(J89/KÄYTTÖTAULU!$I$8,2)</f>
        <v>#DIV/0!</v>
      </c>
      <c r="M89" s="1" t="e">
        <f t="shared" si="29"/>
        <v>#DIV/0!</v>
      </c>
      <c r="N89" s="1" t="e">
        <f t="shared" si="29"/>
        <v>#DIV/0!</v>
      </c>
      <c r="O89" s="11" t="e">
        <f>ROUND(ROUND(E89*0.83/KÄYTTÖTAULU!$I$8*12/33,2)*0.96,2)</f>
        <v>#DIV/0!</v>
      </c>
      <c r="P89" s="11" t="e">
        <f>ROUND(ROUND(F89*0.83/KÄYTTÖTAULU!$I$8*12/33,2)*0.96,2)</f>
        <v>#DIV/0!</v>
      </c>
      <c r="Q89" s="11"/>
      <c r="R89" s="24">
        <v>0</v>
      </c>
      <c r="S89" s="25">
        <v>6</v>
      </c>
      <c r="T89" s="25">
        <v>2</v>
      </c>
      <c r="U89" s="25">
        <v>10</v>
      </c>
      <c r="V89" s="25">
        <v>4</v>
      </c>
      <c r="W89" s="49">
        <v>6</v>
      </c>
      <c r="X89" s="25">
        <v>1</v>
      </c>
      <c r="Y89" s="25">
        <f t="shared" si="24"/>
        <v>1.06</v>
      </c>
      <c r="Z89" s="25">
        <f t="shared" si="25"/>
        <v>1.0812000000000002</v>
      </c>
      <c r="AA89" s="25">
        <f t="shared" si="26"/>
        <v>1.1893200000000004</v>
      </c>
      <c r="AB89" s="25">
        <f t="shared" si="20"/>
        <v>1.2368928000000003</v>
      </c>
      <c r="AC89" s="49">
        <f t="shared" si="28"/>
        <v>1.3111063680000004</v>
      </c>
      <c r="AE89" s="1">
        <v>0</v>
      </c>
      <c r="AF89" s="1">
        <v>6</v>
      </c>
      <c r="AG89" s="1">
        <v>2</v>
      </c>
      <c r="AH89" s="1">
        <v>10</v>
      </c>
      <c r="AI89" s="1">
        <v>4</v>
      </c>
      <c r="AJ89" s="1">
        <v>6</v>
      </c>
      <c r="AL89" s="1">
        <f t="shared" si="22"/>
        <v>0</v>
      </c>
    </row>
    <row r="90" spans="1:38" ht="12.75">
      <c r="A90" s="1">
        <v>85</v>
      </c>
      <c r="B90" s="10" t="s">
        <v>301</v>
      </c>
      <c r="C90" s="191">
        <f>VLOOKUP(MID(B90,1,8)-0,'1.6.2023'!$B$9:$G$160,3,FALSE)</f>
        <v>4243.08</v>
      </c>
      <c r="D90" s="191">
        <f>VLOOKUP(MID(B90,1,8)-0,'1.6.2023'!$B$9:$G$160,5,FALSE)</f>
        <v>4202.42</v>
      </c>
      <c r="E90" s="11">
        <f>IF('muut muuttujat'!$G$3=1,C90,KÄYTTÖTAULU!$B$13)</f>
        <v>4243.08</v>
      </c>
      <c r="F90" s="11">
        <f>IF('muut muuttujat'!$G$3=1,D90,KÄYTTÖTAULU!$B$13)</f>
        <v>4202.42</v>
      </c>
      <c r="G90" s="11">
        <f>KÄYTTÖTAULU!$F$6</f>
        <v>0</v>
      </c>
      <c r="H90" s="11">
        <f>KÄYTTÖTAULU!$F$6</f>
        <v>0</v>
      </c>
      <c r="I90" s="11"/>
      <c r="J90" s="11"/>
      <c r="O90" s="11"/>
      <c r="P90" s="11"/>
      <c r="Q90" s="11"/>
      <c r="R90" s="24">
        <v>0</v>
      </c>
      <c r="S90" s="25">
        <v>0</v>
      </c>
      <c r="T90" s="25">
        <v>0</v>
      </c>
      <c r="U90" s="25">
        <v>5</v>
      </c>
      <c r="V90" s="25">
        <v>4</v>
      </c>
      <c r="W90" s="49">
        <v>4</v>
      </c>
      <c r="X90" s="25">
        <v>1</v>
      </c>
      <c r="Y90" s="25">
        <f t="shared" si="24"/>
        <v>1</v>
      </c>
      <c r="Z90" s="25">
        <f t="shared" si="25"/>
        <v>1</v>
      </c>
      <c r="AA90" s="25">
        <f t="shared" si="26"/>
        <v>1.05</v>
      </c>
      <c r="AB90" s="25">
        <f t="shared" si="20"/>
        <v>1.092</v>
      </c>
      <c r="AC90" s="49">
        <f t="shared" si="28"/>
        <v>1.13568</v>
      </c>
      <c r="AE90" s="1">
        <v>0</v>
      </c>
      <c r="AF90" s="1">
        <v>0</v>
      </c>
      <c r="AG90" s="1">
        <v>0</v>
      </c>
      <c r="AH90" s="1">
        <v>5</v>
      </c>
      <c r="AI90" s="1">
        <v>4</v>
      </c>
      <c r="AJ90" s="1">
        <v>4</v>
      </c>
      <c r="AL90" s="1">
        <f t="shared" si="22"/>
        <v>0</v>
      </c>
    </row>
    <row r="91" spans="1:38" ht="12.75">
      <c r="A91" s="1">
        <v>86</v>
      </c>
      <c r="B91" s="10" t="s">
        <v>302</v>
      </c>
      <c r="C91" s="191">
        <f>VLOOKUP(MID(B91,1,8)-0,'1.6.2023'!$B$9:$G$160,3,FALSE)</f>
        <v>4029.31</v>
      </c>
      <c r="D91" s="191">
        <f>VLOOKUP(MID(B91,1,8)-0,'1.6.2023'!$B$9:$G$160,5,FALSE)</f>
        <v>3990.59</v>
      </c>
      <c r="E91" s="11">
        <f>IF('muut muuttujat'!$G$3=1,C91,KÄYTTÖTAULU!$B$13)</f>
        <v>4029.31</v>
      </c>
      <c r="F91" s="11">
        <f>IF('muut muuttujat'!$G$3=1,D91,KÄYTTÖTAULU!$B$13)</f>
        <v>3990.59</v>
      </c>
      <c r="G91" s="11">
        <f>KÄYTTÖTAULU!$F$6</f>
        <v>0</v>
      </c>
      <c r="H91" s="11">
        <f>KÄYTTÖTAULU!$F$6</f>
        <v>0</v>
      </c>
      <c r="I91" s="11"/>
      <c r="J91" s="11"/>
      <c r="O91" s="11"/>
      <c r="P91" s="11"/>
      <c r="Q91" s="11"/>
      <c r="R91" s="24">
        <v>0</v>
      </c>
      <c r="S91" s="25">
        <v>0</v>
      </c>
      <c r="T91" s="25">
        <v>0</v>
      </c>
      <c r="U91" s="25">
        <v>5</v>
      </c>
      <c r="V91" s="25">
        <v>4</v>
      </c>
      <c r="W91" s="49">
        <v>4</v>
      </c>
      <c r="X91" s="25">
        <v>1</v>
      </c>
      <c r="Y91" s="25">
        <f t="shared" si="24"/>
        <v>1</v>
      </c>
      <c r="Z91" s="25">
        <f t="shared" si="25"/>
        <v>1</v>
      </c>
      <c r="AA91" s="25">
        <f t="shared" si="26"/>
        <v>1.05</v>
      </c>
      <c r="AB91" s="25">
        <f t="shared" si="20"/>
        <v>1.092</v>
      </c>
      <c r="AC91" s="49">
        <f t="shared" si="28"/>
        <v>1.13568</v>
      </c>
      <c r="AE91" s="1">
        <v>0</v>
      </c>
      <c r="AF91" s="1">
        <v>0</v>
      </c>
      <c r="AG91" s="1">
        <v>0</v>
      </c>
      <c r="AH91" s="1">
        <v>5</v>
      </c>
      <c r="AI91" s="1">
        <v>4</v>
      </c>
      <c r="AJ91" s="1">
        <v>4</v>
      </c>
      <c r="AL91" s="1">
        <f t="shared" si="22"/>
        <v>0</v>
      </c>
    </row>
    <row r="92" spans="1:38" ht="12.75">
      <c r="A92" s="1">
        <v>87</v>
      </c>
      <c r="B92" s="10" t="s">
        <v>303</v>
      </c>
      <c r="C92" s="191">
        <f>VLOOKUP(MID(B92,1,8)-0,'1.6.2023'!$B$9:$G$160,3,FALSE)</f>
        <v>3889.88</v>
      </c>
      <c r="D92" s="191">
        <f>VLOOKUP(MID(B92,1,8)-0,'1.6.2023'!$B$9:$G$160,5,FALSE)</f>
        <v>3852.19</v>
      </c>
      <c r="E92" s="11">
        <f>IF('muut muuttujat'!$G$3=1,C92,KÄYTTÖTAULU!$B$13)</f>
        <v>3889.88</v>
      </c>
      <c r="F92" s="11">
        <f>IF('muut muuttujat'!$G$3=1,D92,KÄYTTÖTAULU!$B$13)</f>
        <v>3852.19</v>
      </c>
      <c r="G92" s="11">
        <f>KÄYTTÖTAULU!$F$6</f>
        <v>0</v>
      </c>
      <c r="H92" s="11">
        <f>KÄYTTÖTAULU!$F$6</f>
        <v>0</v>
      </c>
      <c r="I92" s="11"/>
      <c r="J92" s="11"/>
      <c r="O92" s="11"/>
      <c r="P92" s="11"/>
      <c r="Q92" s="11"/>
      <c r="R92" s="24">
        <v>0</v>
      </c>
      <c r="S92" s="25">
        <v>0</v>
      </c>
      <c r="T92" s="25">
        <v>0</v>
      </c>
      <c r="U92" s="25">
        <v>5</v>
      </c>
      <c r="V92" s="25">
        <v>4</v>
      </c>
      <c r="W92" s="49">
        <v>4</v>
      </c>
      <c r="X92" s="25">
        <v>1</v>
      </c>
      <c r="Y92" s="25">
        <f t="shared" si="24"/>
        <v>1</v>
      </c>
      <c r="Z92" s="25">
        <f t="shared" si="25"/>
        <v>1</v>
      </c>
      <c r="AA92" s="25">
        <f t="shared" si="26"/>
        <v>1.05</v>
      </c>
      <c r="AB92" s="25">
        <f t="shared" si="20"/>
        <v>1.092</v>
      </c>
      <c r="AC92" s="49">
        <f t="shared" si="28"/>
        <v>1.13568</v>
      </c>
      <c r="AE92" s="1">
        <v>0</v>
      </c>
      <c r="AF92" s="1">
        <v>0</v>
      </c>
      <c r="AG92" s="1">
        <v>0</v>
      </c>
      <c r="AH92" s="1">
        <v>5</v>
      </c>
      <c r="AI92" s="1">
        <v>4</v>
      </c>
      <c r="AJ92" s="1">
        <v>4</v>
      </c>
      <c r="AL92" s="1">
        <f t="shared" si="22"/>
        <v>0</v>
      </c>
    </row>
    <row r="93" spans="1:38" ht="12.75">
      <c r="A93" s="1">
        <v>88</v>
      </c>
      <c r="B93" s="10" t="s">
        <v>304</v>
      </c>
      <c r="C93" s="191">
        <f>VLOOKUP(MID(B93,1,8)-0,'1.6.2023'!$B$9:$G$160,3,FALSE)</f>
        <v>3927.93</v>
      </c>
      <c r="D93" s="191">
        <f>VLOOKUP(MID(B93,1,8)-0,'1.6.2023'!$B$9:$G$160,5,FALSE)</f>
        <v>3890.24</v>
      </c>
      <c r="E93" s="11">
        <f>IF('muut muuttujat'!$G$3=1,C93,KÄYTTÖTAULU!$B$13)</f>
        <v>3927.93</v>
      </c>
      <c r="F93" s="11">
        <f>IF('muut muuttujat'!$G$3=1,D93,KÄYTTÖTAULU!$B$13)</f>
        <v>3890.24</v>
      </c>
      <c r="G93" s="11">
        <f>KÄYTTÖTAULU!$F$6</f>
        <v>0</v>
      </c>
      <c r="H93" s="11">
        <f>KÄYTTÖTAULU!$F$6</f>
        <v>0</v>
      </c>
      <c r="I93" s="11"/>
      <c r="J93" s="11"/>
      <c r="O93" s="11"/>
      <c r="P93" s="11"/>
      <c r="Q93" s="11"/>
      <c r="R93" s="24">
        <v>0</v>
      </c>
      <c r="S93" s="25">
        <v>0</v>
      </c>
      <c r="T93" s="25">
        <v>0</v>
      </c>
      <c r="U93" s="25">
        <v>5</v>
      </c>
      <c r="V93" s="25">
        <v>4</v>
      </c>
      <c r="W93" s="49">
        <v>6</v>
      </c>
      <c r="X93" s="25">
        <v>1</v>
      </c>
      <c r="Y93" s="25">
        <f aca="true" t="shared" si="30" ref="Y93:Y115">1+S93/100</f>
        <v>1</v>
      </c>
      <c r="Z93" s="25">
        <f aca="true" t="shared" si="31" ref="Z93:Z114">(1+T93/100)*Y93</f>
        <v>1</v>
      </c>
      <c r="AA93" s="25">
        <f aca="true" t="shared" si="32" ref="AA93:AA114">(1+U93/100)*Z93</f>
        <v>1.05</v>
      </c>
      <c r="AB93" s="25">
        <f aca="true" t="shared" si="33" ref="AB93:AB115">(1+V93/100)*AA93</f>
        <v>1.092</v>
      </c>
      <c r="AC93" s="49">
        <f aca="true" t="shared" si="34" ref="AC93:AC115">(1+W93/100)*AB93</f>
        <v>1.15752</v>
      </c>
      <c r="AE93" s="1">
        <v>0</v>
      </c>
      <c r="AF93" s="1">
        <v>0</v>
      </c>
      <c r="AG93" s="1">
        <v>0</v>
      </c>
      <c r="AH93" s="1">
        <v>5</v>
      </c>
      <c r="AI93" s="1">
        <v>4</v>
      </c>
      <c r="AJ93" s="1">
        <v>6</v>
      </c>
      <c r="AL93" s="1">
        <f t="shared" si="22"/>
        <v>0</v>
      </c>
    </row>
    <row r="94" spans="1:38" ht="12.75">
      <c r="A94" s="1">
        <v>89</v>
      </c>
      <c r="B94" s="10" t="s">
        <v>305</v>
      </c>
      <c r="C94" s="191">
        <f>VLOOKUP(MID(B94,1,8)-0,'1.6.2023'!$B$9:$G$160,3,FALSE)</f>
        <v>3534.68</v>
      </c>
      <c r="D94" s="191">
        <f>VLOOKUP(MID(B94,1,8)-0,'1.6.2023'!$B$9:$G$160,5,FALSE)</f>
        <v>3500.71</v>
      </c>
      <c r="E94" s="11">
        <f>IF('muut muuttujat'!$G$3=1,C94,KÄYTTÖTAULU!$B$13)</f>
        <v>3534.68</v>
      </c>
      <c r="F94" s="11">
        <f>IF('muut muuttujat'!$G$3=1,D94,KÄYTTÖTAULU!$B$13)</f>
        <v>3500.71</v>
      </c>
      <c r="G94" s="11">
        <f>KÄYTTÖTAULU!$F$6</f>
        <v>0</v>
      </c>
      <c r="H94" s="11">
        <f>KÄYTTÖTAULU!$F$6</f>
        <v>0</v>
      </c>
      <c r="I94" s="11"/>
      <c r="J94" s="11"/>
      <c r="O94" s="11"/>
      <c r="P94" s="11"/>
      <c r="Q94" s="11"/>
      <c r="R94" s="24">
        <v>0</v>
      </c>
      <c r="S94" s="25">
        <v>0</v>
      </c>
      <c r="T94" s="25">
        <v>0</v>
      </c>
      <c r="U94" s="25">
        <v>5</v>
      </c>
      <c r="V94" s="25">
        <v>4</v>
      </c>
      <c r="W94" s="49">
        <v>6</v>
      </c>
      <c r="X94" s="25">
        <v>1</v>
      </c>
      <c r="Y94" s="25">
        <f t="shared" si="30"/>
        <v>1</v>
      </c>
      <c r="Z94" s="25">
        <f t="shared" si="31"/>
        <v>1</v>
      </c>
      <c r="AA94" s="25">
        <f t="shared" si="32"/>
        <v>1.05</v>
      </c>
      <c r="AB94" s="25">
        <f t="shared" si="33"/>
        <v>1.092</v>
      </c>
      <c r="AC94" s="49">
        <f t="shared" si="34"/>
        <v>1.15752</v>
      </c>
      <c r="AE94" s="1">
        <v>0</v>
      </c>
      <c r="AF94" s="1">
        <v>0</v>
      </c>
      <c r="AG94" s="1">
        <v>0</v>
      </c>
      <c r="AH94" s="1">
        <v>5</v>
      </c>
      <c r="AI94" s="1">
        <v>4</v>
      </c>
      <c r="AJ94" s="1">
        <v>6</v>
      </c>
      <c r="AL94" s="1">
        <f t="shared" si="22"/>
        <v>0</v>
      </c>
    </row>
    <row r="95" spans="1:38" ht="12.75">
      <c r="A95" s="1">
        <v>90</v>
      </c>
      <c r="B95" s="10" t="s">
        <v>306</v>
      </c>
      <c r="C95" s="191">
        <f>VLOOKUP(MID(B95,1,8)-0,'1.6.2023'!$B$9:$G$160,3,FALSE)</f>
        <v>2759.85</v>
      </c>
      <c r="D95" s="191">
        <f>VLOOKUP(MID(B95,1,8)-0,'1.6.2023'!$B$9:$G$160,5,FALSE)</f>
        <v>2733.59</v>
      </c>
      <c r="E95" s="11">
        <f>IF('muut muuttujat'!$G$3=1,C95,KÄYTTÖTAULU!$B$13)</f>
        <v>2759.85</v>
      </c>
      <c r="F95" s="11">
        <f>IF('muut muuttujat'!$G$3=1,D95,KÄYTTÖTAULU!$B$13)</f>
        <v>2733.59</v>
      </c>
      <c r="G95" s="11">
        <f>KÄYTTÖTAULU!$F$6</f>
        <v>0</v>
      </c>
      <c r="H95" s="11">
        <f>KÄYTTÖTAULU!$F$6</f>
        <v>0</v>
      </c>
      <c r="I95" s="11">
        <f>G95*0.83</f>
        <v>0</v>
      </c>
      <c r="J95" s="11">
        <f>H95*0.83</f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>ROUND(K95*(12/35),2)</f>
        <v>#DIV/0!</v>
      </c>
      <c r="N95" s="1" t="e">
        <f>ROUND(L95*(12/35),2)</f>
        <v>#DIV/0!</v>
      </c>
      <c r="O95" s="11"/>
      <c r="P95" s="11"/>
      <c r="Q95" s="11"/>
      <c r="R95" s="24">
        <v>0</v>
      </c>
      <c r="S95" s="25">
        <v>2</v>
      </c>
      <c r="T95" s="25">
        <v>1</v>
      </c>
      <c r="U95" s="25">
        <v>9</v>
      </c>
      <c r="V95" s="25">
        <v>6</v>
      </c>
      <c r="W95" s="49">
        <v>6</v>
      </c>
      <c r="X95" s="25">
        <v>1</v>
      </c>
      <c r="Y95" s="25">
        <f t="shared" si="30"/>
        <v>1.02</v>
      </c>
      <c r="Z95" s="25">
        <f t="shared" si="31"/>
        <v>1.0302</v>
      </c>
      <c r="AA95" s="25">
        <f t="shared" si="32"/>
        <v>1.122918</v>
      </c>
      <c r="AB95" s="25">
        <f t="shared" si="33"/>
        <v>1.1902930800000002</v>
      </c>
      <c r="AC95" s="49">
        <f t="shared" si="34"/>
        <v>1.2617106648000003</v>
      </c>
      <c r="AE95" s="1">
        <v>0</v>
      </c>
      <c r="AF95" s="1">
        <v>2</v>
      </c>
      <c r="AG95" s="1">
        <v>2</v>
      </c>
      <c r="AH95" s="1">
        <v>9</v>
      </c>
      <c r="AI95" s="1">
        <v>6</v>
      </c>
      <c r="AJ95" s="1">
        <v>6</v>
      </c>
      <c r="AL95" s="1">
        <f t="shared" si="22"/>
        <v>1</v>
      </c>
    </row>
    <row r="96" spans="1:38" ht="12.75">
      <c r="A96" s="1">
        <v>91</v>
      </c>
      <c r="B96" s="10" t="s">
        <v>307</v>
      </c>
      <c r="C96" s="191">
        <f>VLOOKUP(MID(B96,1,8)-0,'1.6.2023'!$B$9:$G$160,3,FALSE)</f>
        <v>2687.63</v>
      </c>
      <c r="D96" s="191">
        <f>VLOOKUP(MID(B96,1,8)-0,'1.6.2023'!$B$9:$G$160,5,FALSE)</f>
        <v>2662.07</v>
      </c>
      <c r="E96" s="11">
        <f>IF('muut muuttujat'!$G$3=1,C96,KÄYTTÖTAULU!$B$13)</f>
        <v>2687.63</v>
      </c>
      <c r="F96" s="11">
        <f>IF('muut muuttujat'!$G$3=1,D96,KÄYTTÖTAULU!$B$13)</f>
        <v>2662.07</v>
      </c>
      <c r="G96" s="11">
        <f>KÄYTTÖTAULU!$F$6</f>
        <v>0</v>
      </c>
      <c r="H96" s="11">
        <f>KÄYTTÖTAULU!$F$6</f>
        <v>0</v>
      </c>
      <c r="I96" s="11">
        <f aca="true" t="shared" si="35" ref="I96:I101">G96*0.83</f>
        <v>0</v>
      </c>
      <c r="J96" s="11">
        <f aca="true" t="shared" si="36" ref="J96:J101">H96*0.83</f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aca="true" t="shared" si="37" ref="M96:M101">ROUND(K96*(12/35),2)</f>
        <v>#DIV/0!</v>
      </c>
      <c r="N96" s="1" t="e">
        <f aca="true" t="shared" si="38" ref="N96:N101">ROUND(L96*(12/35),2)</f>
        <v>#DIV/0!</v>
      </c>
      <c r="O96" s="11"/>
      <c r="P96" s="11"/>
      <c r="Q96" s="11"/>
      <c r="R96" s="24">
        <v>0</v>
      </c>
      <c r="S96" s="25">
        <v>2</v>
      </c>
      <c r="T96" s="25">
        <v>1</v>
      </c>
      <c r="U96" s="25">
        <v>9</v>
      </c>
      <c r="V96" s="25">
        <v>6</v>
      </c>
      <c r="W96" s="49">
        <v>6</v>
      </c>
      <c r="X96" s="25">
        <v>1</v>
      </c>
      <c r="Y96" s="25">
        <f t="shared" si="30"/>
        <v>1.02</v>
      </c>
      <c r="Z96" s="25">
        <f t="shared" si="31"/>
        <v>1.0302</v>
      </c>
      <c r="AA96" s="25">
        <f t="shared" si="32"/>
        <v>1.122918</v>
      </c>
      <c r="AB96" s="25">
        <f t="shared" si="33"/>
        <v>1.1902930800000002</v>
      </c>
      <c r="AC96" s="49">
        <f t="shared" si="34"/>
        <v>1.2617106648000003</v>
      </c>
      <c r="AE96" s="1">
        <v>0</v>
      </c>
      <c r="AF96" s="1">
        <v>2</v>
      </c>
      <c r="AG96" s="1">
        <v>2</v>
      </c>
      <c r="AH96" s="1">
        <v>9</v>
      </c>
      <c r="AI96" s="1">
        <v>6</v>
      </c>
      <c r="AJ96" s="1">
        <v>6</v>
      </c>
      <c r="AL96" s="1">
        <f t="shared" si="22"/>
        <v>1</v>
      </c>
    </row>
    <row r="97" spans="1:38" ht="12.75">
      <c r="A97" s="1">
        <v>92</v>
      </c>
      <c r="B97" s="10" t="s">
        <v>308</v>
      </c>
      <c r="C97" s="191">
        <f>VLOOKUP(MID(B97,1,8)-0,'1.6.2023'!$B$9:$G$160,3,FALSE)</f>
        <v>2418.33</v>
      </c>
      <c r="D97" s="191">
        <f>VLOOKUP(MID(B97,1,8)-0,'1.6.2023'!$B$9:$G$160,5,FALSE)</f>
        <v>2395.33</v>
      </c>
      <c r="E97" s="11">
        <f>IF('muut muuttujat'!$G$3=1,C97,KÄYTTÖTAULU!$B$13)</f>
        <v>2418.33</v>
      </c>
      <c r="F97" s="11">
        <f>IF('muut muuttujat'!$G$3=1,D97,KÄYTTÖTAULU!$B$13)</f>
        <v>2395.33</v>
      </c>
      <c r="G97" s="11">
        <f>KÄYTTÖTAULU!$F$6</f>
        <v>0</v>
      </c>
      <c r="H97" s="11">
        <f>KÄYTTÖTAULU!$F$6</f>
        <v>0</v>
      </c>
      <c r="I97" s="11">
        <f t="shared" si="35"/>
        <v>0</v>
      </c>
      <c r="J97" s="11">
        <f t="shared" si="36"/>
        <v>0</v>
      </c>
      <c r="K97" s="1" t="e">
        <f>ROUND(I97/KÄYTTÖTAULU!$I$8,2)</f>
        <v>#DIV/0!</v>
      </c>
      <c r="L97" s="1" t="e">
        <f>ROUND(J97/KÄYTTÖTAULU!$I$8,2)</f>
        <v>#DIV/0!</v>
      </c>
      <c r="M97" s="1" t="e">
        <f t="shared" si="37"/>
        <v>#DIV/0!</v>
      </c>
      <c r="N97" s="1" t="e">
        <f t="shared" si="38"/>
        <v>#DIV/0!</v>
      </c>
      <c r="O97" s="11"/>
      <c r="P97" s="11"/>
      <c r="Q97" s="11"/>
      <c r="R97" s="24">
        <v>0</v>
      </c>
      <c r="S97" s="25">
        <v>2</v>
      </c>
      <c r="T97" s="25">
        <v>1</v>
      </c>
      <c r="U97" s="25">
        <v>9</v>
      </c>
      <c r="V97" s="25">
        <v>6</v>
      </c>
      <c r="W97" s="49">
        <v>6</v>
      </c>
      <c r="X97" s="25">
        <v>1</v>
      </c>
      <c r="Y97" s="25">
        <f t="shared" si="30"/>
        <v>1.02</v>
      </c>
      <c r="Z97" s="25">
        <f t="shared" si="31"/>
        <v>1.0302</v>
      </c>
      <c r="AA97" s="25">
        <f t="shared" si="32"/>
        <v>1.122918</v>
      </c>
      <c r="AB97" s="25">
        <f t="shared" si="33"/>
        <v>1.1902930800000002</v>
      </c>
      <c r="AC97" s="49">
        <f t="shared" si="34"/>
        <v>1.2617106648000003</v>
      </c>
      <c r="AE97" s="1">
        <v>0</v>
      </c>
      <c r="AF97" s="1">
        <v>2</v>
      </c>
      <c r="AG97" s="1">
        <v>2</v>
      </c>
      <c r="AH97" s="1">
        <v>9</v>
      </c>
      <c r="AI97" s="1">
        <v>6</v>
      </c>
      <c r="AJ97" s="1">
        <v>6</v>
      </c>
      <c r="AL97" s="1">
        <f t="shared" si="22"/>
        <v>1</v>
      </c>
    </row>
    <row r="98" spans="1:38" ht="12.75">
      <c r="A98" s="1">
        <v>93</v>
      </c>
      <c r="B98" s="10" t="s">
        <v>309</v>
      </c>
      <c r="C98" s="191">
        <f>VLOOKUP(MID(B98,1,8)-0,'1.6.2023'!$B$9:$G$160,3,FALSE)</f>
        <v>2759.85</v>
      </c>
      <c r="D98" s="191">
        <f>VLOOKUP(MID(B98,1,8)-0,'1.6.2023'!$B$9:$G$160,5,FALSE)</f>
        <v>2733.59</v>
      </c>
      <c r="E98" s="11">
        <f>IF('muut muuttujat'!$G$3=1,C98,KÄYTTÖTAULU!$B$13)</f>
        <v>2759.85</v>
      </c>
      <c r="F98" s="11">
        <f>IF('muut muuttujat'!$G$3=1,D98,KÄYTTÖTAULU!$B$13)</f>
        <v>2733.59</v>
      </c>
      <c r="G98" s="11">
        <f>KÄYTTÖTAULU!$F$6</f>
        <v>0</v>
      </c>
      <c r="H98" s="11">
        <f>KÄYTTÖTAULU!$F$6</f>
        <v>0</v>
      </c>
      <c r="I98" s="11">
        <f t="shared" si="35"/>
        <v>0</v>
      </c>
      <c r="J98" s="11">
        <f t="shared" si="36"/>
        <v>0</v>
      </c>
      <c r="K98" s="1" t="e">
        <f>ROUND(I98/KÄYTTÖTAULU!$I$8,2)</f>
        <v>#DIV/0!</v>
      </c>
      <c r="L98" s="1" t="e">
        <f>ROUND(J98/KÄYTTÖTAULU!$I$8,2)</f>
        <v>#DIV/0!</v>
      </c>
      <c r="M98" s="1" t="e">
        <f t="shared" si="37"/>
        <v>#DIV/0!</v>
      </c>
      <c r="N98" s="1" t="e">
        <f t="shared" si="38"/>
        <v>#DIV/0!</v>
      </c>
      <c r="O98" s="11"/>
      <c r="P98" s="11"/>
      <c r="Q98" s="11"/>
      <c r="R98" s="24">
        <v>0</v>
      </c>
      <c r="S98" s="25">
        <v>2</v>
      </c>
      <c r="T98" s="25">
        <v>1</v>
      </c>
      <c r="U98" s="25">
        <v>9</v>
      </c>
      <c r="V98" s="25">
        <v>6</v>
      </c>
      <c r="W98" s="49">
        <v>6</v>
      </c>
      <c r="X98" s="25">
        <v>1</v>
      </c>
      <c r="Y98" s="25">
        <f t="shared" si="30"/>
        <v>1.02</v>
      </c>
      <c r="Z98" s="25">
        <f t="shared" si="31"/>
        <v>1.0302</v>
      </c>
      <c r="AA98" s="25">
        <f t="shared" si="32"/>
        <v>1.122918</v>
      </c>
      <c r="AB98" s="25">
        <f t="shared" si="33"/>
        <v>1.1902930800000002</v>
      </c>
      <c r="AC98" s="49">
        <f t="shared" si="34"/>
        <v>1.2617106648000003</v>
      </c>
      <c r="AE98" s="1">
        <v>0</v>
      </c>
      <c r="AF98" s="1">
        <v>2</v>
      </c>
      <c r="AG98" s="1">
        <v>2</v>
      </c>
      <c r="AH98" s="1">
        <v>9</v>
      </c>
      <c r="AI98" s="1">
        <v>6</v>
      </c>
      <c r="AJ98" s="1">
        <v>6</v>
      </c>
      <c r="AL98" s="1">
        <f t="shared" si="22"/>
        <v>1</v>
      </c>
    </row>
    <row r="99" spans="1:38" ht="12.75">
      <c r="A99" s="1">
        <v>94</v>
      </c>
      <c r="B99" s="10" t="s">
        <v>310</v>
      </c>
      <c r="C99" s="191">
        <f>VLOOKUP(MID(B99,1,8)-0,'1.6.2023'!$B$9:$G$160,3,FALSE)</f>
        <v>2528.35</v>
      </c>
      <c r="D99" s="191">
        <f>VLOOKUP(MID(B99,1,8)-0,'1.6.2023'!$B$9:$G$160,5,FALSE)</f>
        <v>2504.25</v>
      </c>
      <c r="E99" s="11">
        <f>IF('muut muuttujat'!$G$3=1,C99,KÄYTTÖTAULU!$B$13)</f>
        <v>2528.35</v>
      </c>
      <c r="F99" s="11">
        <f>IF('muut muuttujat'!$G$3=1,D99,KÄYTTÖTAULU!$B$13)</f>
        <v>2504.25</v>
      </c>
      <c r="G99" s="11">
        <f>KÄYTTÖTAULU!$F$6</f>
        <v>0</v>
      </c>
      <c r="H99" s="11">
        <f>KÄYTTÖTAULU!$F$6</f>
        <v>0</v>
      </c>
      <c r="I99" s="11">
        <f t="shared" si="35"/>
        <v>0</v>
      </c>
      <c r="J99" s="11">
        <f t="shared" si="36"/>
        <v>0</v>
      </c>
      <c r="K99" s="1" t="e">
        <f>ROUND(I99/KÄYTTÖTAULU!$I$8,2)</f>
        <v>#DIV/0!</v>
      </c>
      <c r="L99" s="1" t="e">
        <f>ROUND(J99/KÄYTTÖTAULU!$I$8,2)</f>
        <v>#DIV/0!</v>
      </c>
      <c r="M99" s="1" t="e">
        <f t="shared" si="37"/>
        <v>#DIV/0!</v>
      </c>
      <c r="N99" s="1" t="e">
        <f t="shared" si="38"/>
        <v>#DIV/0!</v>
      </c>
      <c r="O99" s="11"/>
      <c r="P99" s="11"/>
      <c r="Q99" s="11"/>
      <c r="R99" s="24">
        <v>0</v>
      </c>
      <c r="S99" s="25">
        <v>2</v>
      </c>
      <c r="T99" s="25">
        <v>1</v>
      </c>
      <c r="U99" s="25">
        <v>9</v>
      </c>
      <c r="V99" s="25">
        <v>6</v>
      </c>
      <c r="W99" s="49">
        <v>6</v>
      </c>
      <c r="X99" s="25">
        <v>1</v>
      </c>
      <c r="Y99" s="25">
        <f t="shared" si="30"/>
        <v>1.02</v>
      </c>
      <c r="Z99" s="25">
        <f t="shared" si="31"/>
        <v>1.0302</v>
      </c>
      <c r="AA99" s="25">
        <f t="shared" si="32"/>
        <v>1.122918</v>
      </c>
      <c r="AB99" s="25">
        <f t="shared" si="33"/>
        <v>1.1902930800000002</v>
      </c>
      <c r="AC99" s="49">
        <f t="shared" si="34"/>
        <v>1.2617106648000003</v>
      </c>
      <c r="AE99" s="1">
        <v>0</v>
      </c>
      <c r="AF99" s="1">
        <v>2</v>
      </c>
      <c r="AG99" s="1">
        <v>2</v>
      </c>
      <c r="AH99" s="1">
        <v>9</v>
      </c>
      <c r="AI99" s="1">
        <v>6</v>
      </c>
      <c r="AJ99" s="1">
        <v>6</v>
      </c>
      <c r="AL99" s="1">
        <f t="shared" si="22"/>
        <v>1</v>
      </c>
    </row>
    <row r="100" spans="1:38" ht="12.75">
      <c r="A100" s="1">
        <v>95</v>
      </c>
      <c r="B100" s="10" t="s">
        <v>311</v>
      </c>
      <c r="C100" s="191">
        <f>VLOOKUP(MID(B100,1,8)-0,'1.6.2023'!$B$9:$G$160,3,FALSE)</f>
        <v>2477.98</v>
      </c>
      <c r="D100" s="191">
        <f>VLOOKUP(MID(B100,1,8)-0,'1.6.2023'!$B$9:$G$160,5,FALSE)</f>
        <v>2454.38</v>
      </c>
      <c r="E100" s="11">
        <f>IF('muut muuttujat'!$G$3=1,C100,KÄYTTÖTAULU!$B$13)</f>
        <v>2477.98</v>
      </c>
      <c r="F100" s="11">
        <f>IF('muut muuttujat'!$G$3=1,D100,KÄYTTÖTAULU!$B$13)</f>
        <v>2454.38</v>
      </c>
      <c r="G100" s="11">
        <f>KÄYTTÖTAULU!$F$6</f>
        <v>0</v>
      </c>
      <c r="H100" s="11">
        <f>KÄYTTÖTAULU!$F$6</f>
        <v>0</v>
      </c>
      <c r="I100" s="11">
        <f t="shared" si="35"/>
        <v>0</v>
      </c>
      <c r="J100" s="11">
        <f t="shared" si="36"/>
        <v>0</v>
      </c>
      <c r="K100" s="1" t="e">
        <f>ROUND(I100/KÄYTTÖTAULU!$I$8,2)</f>
        <v>#DIV/0!</v>
      </c>
      <c r="L100" s="1" t="e">
        <f>ROUND(J100/KÄYTTÖTAULU!$I$8,2)</f>
        <v>#DIV/0!</v>
      </c>
      <c r="M100" s="1" t="e">
        <f t="shared" si="37"/>
        <v>#DIV/0!</v>
      </c>
      <c r="N100" s="1" t="e">
        <f t="shared" si="38"/>
        <v>#DIV/0!</v>
      </c>
      <c r="O100" s="11"/>
      <c r="P100" s="11"/>
      <c r="Q100" s="11"/>
      <c r="R100" s="24">
        <v>0</v>
      </c>
      <c r="S100" s="25">
        <v>2</v>
      </c>
      <c r="T100" s="25">
        <v>1</v>
      </c>
      <c r="U100" s="25">
        <v>9</v>
      </c>
      <c r="V100" s="25">
        <v>6</v>
      </c>
      <c r="W100" s="49">
        <v>6</v>
      </c>
      <c r="X100" s="25">
        <v>1</v>
      </c>
      <c r="Y100" s="25">
        <f t="shared" si="30"/>
        <v>1.02</v>
      </c>
      <c r="Z100" s="25">
        <f t="shared" si="31"/>
        <v>1.0302</v>
      </c>
      <c r="AA100" s="25">
        <f t="shared" si="32"/>
        <v>1.122918</v>
      </c>
      <c r="AB100" s="25">
        <f t="shared" si="33"/>
        <v>1.1902930800000002</v>
      </c>
      <c r="AC100" s="49">
        <f t="shared" si="34"/>
        <v>1.2617106648000003</v>
      </c>
      <c r="AE100" s="1">
        <v>0</v>
      </c>
      <c r="AF100" s="1">
        <v>2</v>
      </c>
      <c r="AG100" s="1">
        <v>2</v>
      </c>
      <c r="AH100" s="1">
        <v>9</v>
      </c>
      <c r="AI100" s="1">
        <v>6</v>
      </c>
      <c r="AJ100" s="1">
        <v>6</v>
      </c>
      <c r="AL100" s="1">
        <f t="shared" si="22"/>
        <v>1</v>
      </c>
    </row>
    <row r="101" spans="1:38" ht="12.75">
      <c r="A101" s="1">
        <v>96</v>
      </c>
      <c r="B101" s="228" t="s">
        <v>312</v>
      </c>
      <c r="C101" s="191">
        <f>VLOOKUP(MID(B101,1,8)-0,'1.6.2023'!$B$9:$G$160,3,FALSE)</f>
        <v>2307.5</v>
      </c>
      <c r="D101" s="191">
        <f>VLOOKUP(MID(B101,1,8)-0,'1.6.2023'!$B$9:$G$160,5,FALSE)</f>
        <v>2286.01</v>
      </c>
      <c r="E101" s="11">
        <f>IF('muut muuttujat'!$G$3=1,C101,KÄYTTÖTAULU!$B$13)</f>
        <v>2307.5</v>
      </c>
      <c r="F101" s="11">
        <f>IF('muut muuttujat'!$G$3=1,D101,KÄYTTÖTAULU!$B$13)</f>
        <v>2286.01</v>
      </c>
      <c r="G101" s="11">
        <f>KÄYTTÖTAULU!$F$6</f>
        <v>0</v>
      </c>
      <c r="H101" s="11">
        <f>KÄYTTÖTAULU!$F$6</f>
        <v>0</v>
      </c>
      <c r="I101" s="11">
        <f t="shared" si="35"/>
        <v>0</v>
      </c>
      <c r="J101" s="11">
        <f t="shared" si="36"/>
        <v>0</v>
      </c>
      <c r="K101" s="1" t="e">
        <f>ROUND(I101/KÄYTTÖTAULU!$I$8,2)</f>
        <v>#DIV/0!</v>
      </c>
      <c r="L101" s="1" t="e">
        <f>ROUND(J101/KÄYTTÖTAULU!$I$8,2)</f>
        <v>#DIV/0!</v>
      </c>
      <c r="M101" s="1" t="e">
        <f t="shared" si="37"/>
        <v>#DIV/0!</v>
      </c>
      <c r="N101" s="1" t="e">
        <f t="shared" si="38"/>
        <v>#DIV/0!</v>
      </c>
      <c r="O101" s="11"/>
      <c r="P101" s="11"/>
      <c r="Q101" s="11"/>
      <c r="R101" s="24">
        <v>0</v>
      </c>
      <c r="S101" s="25">
        <v>2</v>
      </c>
      <c r="T101" s="25">
        <v>1</v>
      </c>
      <c r="U101" s="25">
        <v>9</v>
      </c>
      <c r="V101" s="25">
        <v>6</v>
      </c>
      <c r="W101" s="49">
        <v>6</v>
      </c>
      <c r="X101" s="25">
        <v>1</v>
      </c>
      <c r="Y101" s="25">
        <f t="shared" si="30"/>
        <v>1.02</v>
      </c>
      <c r="Z101" s="25">
        <f t="shared" si="31"/>
        <v>1.0302</v>
      </c>
      <c r="AA101" s="25">
        <f t="shared" si="32"/>
        <v>1.122918</v>
      </c>
      <c r="AB101" s="25">
        <f t="shared" si="33"/>
        <v>1.1902930800000002</v>
      </c>
      <c r="AC101" s="49">
        <f t="shared" si="34"/>
        <v>1.2617106648000003</v>
      </c>
      <c r="AE101" s="1">
        <v>0</v>
      </c>
      <c r="AF101" s="1">
        <v>2</v>
      </c>
      <c r="AG101" s="1">
        <v>2</v>
      </c>
      <c r="AH101" s="1">
        <v>9</v>
      </c>
      <c r="AI101" s="1">
        <v>6</v>
      </c>
      <c r="AJ101" s="1">
        <v>6</v>
      </c>
      <c r="AL101" s="1">
        <f t="shared" si="22"/>
        <v>1</v>
      </c>
    </row>
    <row r="102" spans="1:38" ht="12.75">
      <c r="A102" s="1">
        <v>97</v>
      </c>
      <c r="B102" s="228" t="s">
        <v>313</v>
      </c>
      <c r="C102" s="191">
        <f>VLOOKUP(MID(B102,1,8)-0,'1.6.2023'!$B$9:$G$160,3,FALSE)</f>
        <v>29.88</v>
      </c>
      <c r="D102" s="191"/>
      <c r="E102" s="11"/>
      <c r="F102" s="11"/>
      <c r="G102" s="11"/>
      <c r="H102" s="11"/>
      <c r="I102" s="11"/>
      <c r="J102" s="11"/>
      <c r="O102" s="11"/>
      <c r="P102" s="11"/>
      <c r="Q102" s="192">
        <f>'1.6.2023'!D144</f>
        <v>29.88</v>
      </c>
      <c r="R102" s="24"/>
      <c r="S102" s="25"/>
      <c r="T102" s="25"/>
      <c r="U102" s="25"/>
      <c r="V102" s="25"/>
      <c r="W102" s="49"/>
      <c r="X102" s="25"/>
      <c r="Y102" s="25"/>
      <c r="Z102" s="25"/>
      <c r="AA102" s="25"/>
      <c r="AB102" s="25"/>
      <c r="AC102" s="49"/>
      <c r="AL102" s="1">
        <f t="shared" si="22"/>
        <v>0</v>
      </c>
    </row>
    <row r="103" spans="1:38" ht="12.75">
      <c r="A103" s="1">
        <v>98</v>
      </c>
      <c r="B103" s="228" t="s">
        <v>314</v>
      </c>
      <c r="C103" s="191">
        <f>VLOOKUP(MID(B103,1,8)-0,'1.6.2023'!$B$9:$G$160,3,FALSE)</f>
        <v>29.31</v>
      </c>
      <c r="D103" s="191"/>
      <c r="E103" s="11"/>
      <c r="F103" s="11"/>
      <c r="G103" s="11"/>
      <c r="H103" s="11"/>
      <c r="I103" s="11"/>
      <c r="J103" s="11"/>
      <c r="O103" s="11"/>
      <c r="P103" s="11"/>
      <c r="Q103" s="192">
        <f>'1.6.2023'!D145</f>
        <v>29.31</v>
      </c>
      <c r="R103" s="24"/>
      <c r="S103" s="25"/>
      <c r="T103" s="25"/>
      <c r="U103" s="25"/>
      <c r="V103" s="25"/>
      <c r="W103" s="49"/>
      <c r="X103" s="25"/>
      <c r="Y103" s="25"/>
      <c r="Z103" s="25"/>
      <c r="AA103" s="25"/>
      <c r="AB103" s="25"/>
      <c r="AC103" s="49"/>
      <c r="AL103" s="1">
        <f t="shared" si="22"/>
        <v>0</v>
      </c>
    </row>
    <row r="104" spans="1:38" ht="12.75">
      <c r="A104" s="1">
        <v>99</v>
      </c>
      <c r="B104" s="10" t="s">
        <v>315</v>
      </c>
      <c r="C104" s="191">
        <f>VLOOKUP(MID(B104,1,8)-0,'1.6.2023'!$B$9:$G$160,3,FALSE)</f>
        <v>27.46</v>
      </c>
      <c r="D104" s="191"/>
      <c r="E104" s="11"/>
      <c r="F104" s="11"/>
      <c r="G104" s="11"/>
      <c r="H104" s="11"/>
      <c r="I104" s="11"/>
      <c r="J104" s="11"/>
      <c r="O104" s="11"/>
      <c r="P104" s="11"/>
      <c r="Q104" s="192">
        <f>'1.6.2023'!D146</f>
        <v>27.46</v>
      </c>
      <c r="R104" s="24"/>
      <c r="S104" s="25"/>
      <c r="T104" s="25"/>
      <c r="U104" s="25"/>
      <c r="V104" s="25"/>
      <c r="W104" s="49"/>
      <c r="X104" s="25"/>
      <c r="Y104" s="25"/>
      <c r="Z104" s="25"/>
      <c r="AA104" s="25"/>
      <c r="AB104" s="25"/>
      <c r="AC104" s="49"/>
      <c r="AL104" s="1">
        <f t="shared" si="22"/>
        <v>0</v>
      </c>
    </row>
    <row r="105" spans="1:38" ht="12.75">
      <c r="A105" s="1">
        <v>100</v>
      </c>
      <c r="B105" s="10" t="s">
        <v>316</v>
      </c>
      <c r="C105" s="191">
        <f>VLOOKUP(MID(B105,1,8)-0,'1.6.2023'!$B$9:$G$160,3,FALSE)</f>
        <v>3430.36</v>
      </c>
      <c r="D105" s="191">
        <f>VLOOKUP(MID(B105,1,8)-0,'1.6.2023'!$B$9:$G$160,5,FALSE)</f>
        <v>3404.14</v>
      </c>
      <c r="E105" s="11">
        <f>IF('muut muuttujat'!$G$3=1,C105,KÄYTTÖTAULU!$B$13)</f>
        <v>3430.36</v>
      </c>
      <c r="F105" s="11">
        <f>IF('muut muuttujat'!$G$3=1,D105,KÄYTTÖTAULU!$B$13)</f>
        <v>3404.14</v>
      </c>
      <c r="G105" s="11">
        <f>KÄYTTÖTAULU!$F$6</f>
        <v>0</v>
      </c>
      <c r="H105" s="11">
        <f>KÄYTTÖTAULU!$F$6</f>
        <v>0</v>
      </c>
      <c r="I105" s="11"/>
      <c r="J105" s="11"/>
      <c r="O105" s="11"/>
      <c r="P105" s="11"/>
      <c r="Q105" s="11"/>
      <c r="R105" s="24">
        <v>0</v>
      </c>
      <c r="S105" s="25">
        <v>0</v>
      </c>
      <c r="T105" s="25">
        <v>0</v>
      </c>
      <c r="U105" s="25">
        <v>5</v>
      </c>
      <c r="V105" s="25">
        <v>4</v>
      </c>
      <c r="W105" s="49">
        <v>6</v>
      </c>
      <c r="X105" s="25">
        <v>1</v>
      </c>
      <c r="Y105" s="25">
        <f>1+S105/100</f>
        <v>1</v>
      </c>
      <c r="Z105" s="25">
        <f aca="true" t="shared" si="39" ref="Z105:AC108">(1+T105/100)*Y105</f>
        <v>1</v>
      </c>
      <c r="AA105" s="25">
        <f t="shared" si="39"/>
        <v>1.05</v>
      </c>
      <c r="AB105" s="25">
        <f t="shared" si="39"/>
        <v>1.092</v>
      </c>
      <c r="AC105" s="49">
        <f t="shared" si="39"/>
        <v>1.15752</v>
      </c>
      <c r="AE105" s="1">
        <v>0</v>
      </c>
      <c r="AF105" s="1">
        <v>0</v>
      </c>
      <c r="AG105" s="1">
        <v>0</v>
      </c>
      <c r="AH105" s="1">
        <v>5</v>
      </c>
      <c r="AI105" s="1">
        <v>4</v>
      </c>
      <c r="AJ105" s="1">
        <v>6</v>
      </c>
      <c r="AL105" s="1">
        <f t="shared" si="22"/>
        <v>0</v>
      </c>
    </row>
    <row r="106" spans="1:38" ht="12.75">
      <c r="A106" s="1">
        <v>101</v>
      </c>
      <c r="B106" s="10" t="s">
        <v>317</v>
      </c>
      <c r="C106" s="191">
        <f>VLOOKUP(MID(B106,1,8)-0,'1.6.2023'!$B$9:$G$160,3,FALSE)</f>
        <v>3430.36</v>
      </c>
      <c r="D106" s="191">
        <f>VLOOKUP(MID(B106,1,8)-0,'1.6.2023'!$B$9:$G$160,5,FALSE)</f>
        <v>3404.14</v>
      </c>
      <c r="E106" s="11">
        <f>IF('muut muuttujat'!$G$3=1,C106,KÄYTTÖTAULU!$B$13)</f>
        <v>3430.36</v>
      </c>
      <c r="F106" s="11">
        <f>IF('muut muuttujat'!$G$3=1,D106,KÄYTTÖTAULU!$B$13)</f>
        <v>3404.14</v>
      </c>
      <c r="G106" s="11">
        <f>KÄYTTÖTAULU!$F$6</f>
        <v>0</v>
      </c>
      <c r="H106" s="11">
        <f>KÄYTTÖTAULU!$F$6</f>
        <v>0</v>
      </c>
      <c r="I106" s="11"/>
      <c r="J106" s="11"/>
      <c r="O106" s="11"/>
      <c r="P106" s="11"/>
      <c r="Q106" s="11"/>
      <c r="R106" s="24">
        <v>0</v>
      </c>
      <c r="S106" s="25">
        <v>0</v>
      </c>
      <c r="T106" s="25">
        <v>0</v>
      </c>
      <c r="U106" s="25">
        <v>5</v>
      </c>
      <c r="V106" s="25">
        <v>4</v>
      </c>
      <c r="W106" s="49">
        <v>6</v>
      </c>
      <c r="X106" s="25">
        <v>1</v>
      </c>
      <c r="Y106" s="25">
        <f>1+S106/100</f>
        <v>1</v>
      </c>
      <c r="Z106" s="25">
        <f t="shared" si="39"/>
        <v>1</v>
      </c>
      <c r="AA106" s="25">
        <f t="shared" si="39"/>
        <v>1.05</v>
      </c>
      <c r="AB106" s="25">
        <f t="shared" si="39"/>
        <v>1.092</v>
      </c>
      <c r="AC106" s="49">
        <f t="shared" si="39"/>
        <v>1.15752</v>
      </c>
      <c r="AE106" s="1">
        <v>0</v>
      </c>
      <c r="AF106" s="1">
        <v>0</v>
      </c>
      <c r="AG106" s="1">
        <v>0</v>
      </c>
      <c r="AH106" s="1">
        <v>5</v>
      </c>
      <c r="AI106" s="1">
        <v>4</v>
      </c>
      <c r="AJ106" s="1">
        <v>6</v>
      </c>
      <c r="AL106" s="1">
        <f t="shared" si="22"/>
        <v>0</v>
      </c>
    </row>
    <row r="107" spans="1:38" ht="12.75">
      <c r="A107" s="1">
        <v>102</v>
      </c>
      <c r="B107" s="10" t="s">
        <v>318</v>
      </c>
      <c r="C107" s="191">
        <f>VLOOKUP(MID(B107,1,8)-0,'1.6.2023'!$B$9:$G$160,3,FALSE)</f>
        <v>2353.03</v>
      </c>
      <c r="D107" s="191">
        <f>VLOOKUP(MID(B107,1,8)-0,'1.6.2023'!$B$9:$G$160,5,FALSE)</f>
        <v>2332.27</v>
      </c>
      <c r="E107" s="11">
        <f>IF('muut muuttujat'!$G$3=1,C107,KÄYTTÖTAULU!$B$13)</f>
        <v>2353.03</v>
      </c>
      <c r="F107" s="11">
        <f>IF('muut muuttujat'!$G$3=1,D107,KÄYTTÖTAULU!$B$13)</f>
        <v>2332.27</v>
      </c>
      <c r="G107" s="11">
        <f>KÄYTTÖTAULU!$F$6</f>
        <v>0</v>
      </c>
      <c r="H107" s="11">
        <f>KÄYTTÖTAULU!$F$6</f>
        <v>0</v>
      </c>
      <c r="I107" s="11">
        <f>G107*0.83</f>
        <v>0</v>
      </c>
      <c r="J107" s="11">
        <f>H107*0.83</f>
        <v>0</v>
      </c>
      <c r="O107" s="11"/>
      <c r="P107" s="11"/>
      <c r="Q107" s="11"/>
      <c r="R107" s="24">
        <v>0</v>
      </c>
      <c r="S107" s="25">
        <v>2</v>
      </c>
      <c r="T107" s="25">
        <v>1</v>
      </c>
      <c r="U107" s="25">
        <v>5</v>
      </c>
      <c r="V107" s="25">
        <v>10</v>
      </c>
      <c r="W107" s="49">
        <v>10</v>
      </c>
      <c r="X107" s="25">
        <v>1</v>
      </c>
      <c r="Y107" s="25">
        <f>1+S107/100</f>
        <v>1.02</v>
      </c>
      <c r="Z107" s="25">
        <f t="shared" si="39"/>
        <v>1.0302</v>
      </c>
      <c r="AA107" s="25">
        <f t="shared" si="39"/>
        <v>1.08171</v>
      </c>
      <c r="AB107" s="25">
        <f t="shared" si="39"/>
        <v>1.189881</v>
      </c>
      <c r="AC107" s="49">
        <f t="shared" si="39"/>
        <v>1.3088691000000001</v>
      </c>
      <c r="AE107" s="1">
        <v>0</v>
      </c>
      <c r="AF107" s="1">
        <v>2</v>
      </c>
      <c r="AG107" s="1">
        <v>2</v>
      </c>
      <c r="AH107" s="1">
        <v>5</v>
      </c>
      <c r="AI107" s="1">
        <v>10</v>
      </c>
      <c r="AJ107" s="1">
        <v>10</v>
      </c>
      <c r="AL107" s="1">
        <f t="shared" si="22"/>
        <v>1</v>
      </c>
    </row>
    <row r="108" spans="1:38" ht="12.75">
      <c r="A108" s="1">
        <v>103</v>
      </c>
      <c r="B108" s="10" t="s">
        <v>319</v>
      </c>
      <c r="C108" s="191">
        <f>VLOOKUP(MID(B108,1,8)-0,'1.6.2023'!$B$9:$G$160,3,FALSE)</f>
        <v>2441.75</v>
      </c>
      <c r="D108" s="191">
        <f>VLOOKUP(MID(B108,1,8)-0,'1.6.2023'!$B$9:$G$160,5,FALSE)</f>
        <v>2419.57</v>
      </c>
      <c r="E108" s="11">
        <f>IF('muut muuttujat'!$G$3=1,C108,KÄYTTÖTAULU!$B$13)</f>
        <v>2441.75</v>
      </c>
      <c r="F108" s="11">
        <f>IF('muut muuttujat'!$G$3=1,D108,KÄYTTÖTAULU!$B$13)</f>
        <v>2419.57</v>
      </c>
      <c r="G108" s="11">
        <f>KÄYTTÖTAULU!$F$6</f>
        <v>0</v>
      </c>
      <c r="H108" s="11">
        <f>KÄYTTÖTAULU!$F$6</f>
        <v>0</v>
      </c>
      <c r="I108" s="11">
        <f>G108*0.83</f>
        <v>0</v>
      </c>
      <c r="J108" s="11">
        <f>H108*0.83</f>
        <v>0</v>
      </c>
      <c r="O108" s="11"/>
      <c r="P108" s="11"/>
      <c r="Q108" s="11"/>
      <c r="R108" s="24">
        <v>0</v>
      </c>
      <c r="S108" s="25">
        <v>2</v>
      </c>
      <c r="T108" s="25">
        <v>1</v>
      </c>
      <c r="U108" s="25">
        <v>5</v>
      </c>
      <c r="V108" s="25">
        <v>10</v>
      </c>
      <c r="W108" s="49">
        <v>10</v>
      </c>
      <c r="X108" s="25">
        <v>1</v>
      </c>
      <c r="Y108" s="25">
        <f>1+S108/100</f>
        <v>1.02</v>
      </c>
      <c r="Z108" s="25">
        <f t="shared" si="39"/>
        <v>1.0302</v>
      </c>
      <c r="AA108" s="25">
        <f t="shared" si="39"/>
        <v>1.08171</v>
      </c>
      <c r="AB108" s="25">
        <f t="shared" si="39"/>
        <v>1.189881</v>
      </c>
      <c r="AC108" s="49">
        <f t="shared" si="39"/>
        <v>1.3088691000000001</v>
      </c>
      <c r="AE108" s="1">
        <v>0</v>
      </c>
      <c r="AF108" s="1">
        <v>2</v>
      </c>
      <c r="AG108" s="1">
        <v>2</v>
      </c>
      <c r="AH108" s="1">
        <v>5</v>
      </c>
      <c r="AI108" s="1">
        <v>10</v>
      </c>
      <c r="AJ108" s="1">
        <v>10</v>
      </c>
      <c r="AL108" s="1">
        <f t="shared" si="22"/>
        <v>1</v>
      </c>
    </row>
    <row r="109" spans="1:38" ht="12.75">
      <c r="A109" s="1">
        <v>104</v>
      </c>
      <c r="B109" s="10" t="s">
        <v>320</v>
      </c>
      <c r="C109" s="191">
        <f>VLOOKUP(MID(B109,1,8)-0,'1.6.2023'!$B$9:$G$160,3,FALSE)</f>
        <v>26.26</v>
      </c>
      <c r="D109" s="191"/>
      <c r="E109" s="11"/>
      <c r="F109" s="11"/>
      <c r="G109" s="11"/>
      <c r="H109" s="11"/>
      <c r="I109" s="11"/>
      <c r="J109" s="11"/>
      <c r="O109" s="11"/>
      <c r="P109" s="11"/>
      <c r="Q109" s="191">
        <f>'1.6.2023'!D150</f>
        <v>26.26</v>
      </c>
      <c r="R109" s="24"/>
      <c r="S109" s="25"/>
      <c r="T109" s="25"/>
      <c r="U109" s="25"/>
      <c r="V109" s="25"/>
      <c r="W109" s="49"/>
      <c r="X109" s="25"/>
      <c r="Y109" s="25"/>
      <c r="Z109" s="25"/>
      <c r="AA109" s="25"/>
      <c r="AB109" s="25"/>
      <c r="AC109" s="49"/>
      <c r="AL109" s="1">
        <f t="shared" si="22"/>
        <v>0</v>
      </c>
    </row>
    <row r="110" spans="1:38" ht="12.75">
      <c r="A110" s="1">
        <v>105</v>
      </c>
      <c r="B110" s="10" t="s">
        <v>321</v>
      </c>
      <c r="C110" s="191">
        <f>VLOOKUP(MID(B110,1,8)-0,'1.6.2023'!$B$9:$G$160,3,FALSE)</f>
        <v>3891.71</v>
      </c>
      <c r="D110" s="191">
        <f>VLOOKUP(MID(B110,1,8)-0,'1.6.2023'!$B$9:$G$160,5,FALSE)</f>
        <v>3854.46</v>
      </c>
      <c r="E110" s="11">
        <f>IF('muut muuttujat'!$G$3=1,C110,KÄYTTÖTAULU!$B$13)</f>
        <v>3891.71</v>
      </c>
      <c r="F110" s="11">
        <f>IF('muut muuttujat'!$G$3=1,D110,KÄYTTÖTAULU!$B$13)</f>
        <v>3854.46</v>
      </c>
      <c r="G110" s="11">
        <f>KÄYTTÖTAULU!$F$6</f>
        <v>0</v>
      </c>
      <c r="H110" s="11">
        <f>KÄYTTÖTAULU!$F$6</f>
        <v>0</v>
      </c>
      <c r="I110" s="11"/>
      <c r="J110" s="11"/>
      <c r="O110" s="11"/>
      <c r="P110" s="11"/>
      <c r="Q110" s="11"/>
      <c r="R110" s="24">
        <v>0</v>
      </c>
      <c r="S110" s="25">
        <v>0</v>
      </c>
      <c r="T110" s="25">
        <v>0</v>
      </c>
      <c r="U110" s="25">
        <v>5</v>
      </c>
      <c r="V110" s="25">
        <v>4</v>
      </c>
      <c r="W110" s="49">
        <v>6</v>
      </c>
      <c r="X110" s="25">
        <v>1</v>
      </c>
      <c r="Y110" s="25">
        <f t="shared" si="30"/>
        <v>1</v>
      </c>
      <c r="Z110" s="25">
        <f t="shared" si="31"/>
        <v>1</v>
      </c>
      <c r="AA110" s="25">
        <f t="shared" si="32"/>
        <v>1.05</v>
      </c>
      <c r="AB110" s="25">
        <f t="shared" si="33"/>
        <v>1.092</v>
      </c>
      <c r="AC110" s="49">
        <f t="shared" si="34"/>
        <v>1.15752</v>
      </c>
      <c r="AE110" s="1">
        <v>0</v>
      </c>
      <c r="AF110" s="1">
        <v>0</v>
      </c>
      <c r="AG110" s="1">
        <v>0</v>
      </c>
      <c r="AH110" s="1">
        <v>5</v>
      </c>
      <c r="AI110" s="1">
        <v>4</v>
      </c>
      <c r="AJ110" s="1">
        <v>6</v>
      </c>
      <c r="AL110" s="1">
        <f t="shared" si="22"/>
        <v>0</v>
      </c>
    </row>
    <row r="111" spans="1:38" ht="12.75">
      <c r="A111" s="1">
        <v>106</v>
      </c>
      <c r="B111" s="10" t="s">
        <v>322</v>
      </c>
      <c r="C111" s="191">
        <f>VLOOKUP(MID(B111,1,8)-0,'1.6.2023'!$B$9:$G$160,3,FALSE)</f>
        <v>3294.8</v>
      </c>
      <c r="D111" s="191">
        <f>VLOOKUP(MID(B111,1,8)-0,'1.6.2023'!$B$9:$G$160,5,FALSE)</f>
        <v>3263.26</v>
      </c>
      <c r="E111" s="11">
        <f>IF('muut muuttujat'!$G$3=1,C111,KÄYTTÖTAULU!$B$13)</f>
        <v>3294.8</v>
      </c>
      <c r="F111" s="11">
        <f>IF('muut muuttujat'!$G$3=1,D111,KÄYTTÖTAULU!$B$13)</f>
        <v>3263.26</v>
      </c>
      <c r="G111" s="11">
        <f>KÄYTTÖTAULU!$F$6</f>
        <v>0</v>
      </c>
      <c r="H111" s="11">
        <f>KÄYTTÖTAULU!$F$6</f>
        <v>0</v>
      </c>
      <c r="I111" s="11"/>
      <c r="J111" s="11"/>
      <c r="O111" s="11"/>
      <c r="P111" s="11"/>
      <c r="Q111" s="11"/>
      <c r="R111" s="24">
        <v>0</v>
      </c>
      <c r="S111" s="25">
        <v>0</v>
      </c>
      <c r="T111" s="25">
        <v>0</v>
      </c>
      <c r="U111" s="25">
        <v>5</v>
      </c>
      <c r="V111" s="25">
        <v>4</v>
      </c>
      <c r="W111" s="49">
        <v>6</v>
      </c>
      <c r="X111" s="25">
        <v>1</v>
      </c>
      <c r="Y111" s="25">
        <f t="shared" si="30"/>
        <v>1</v>
      </c>
      <c r="Z111" s="25">
        <f t="shared" si="31"/>
        <v>1</v>
      </c>
      <c r="AA111" s="25">
        <f t="shared" si="32"/>
        <v>1.05</v>
      </c>
      <c r="AB111" s="25">
        <f t="shared" si="33"/>
        <v>1.092</v>
      </c>
      <c r="AC111" s="49">
        <f t="shared" si="34"/>
        <v>1.15752</v>
      </c>
      <c r="AE111" s="1">
        <v>0</v>
      </c>
      <c r="AF111" s="1">
        <v>0</v>
      </c>
      <c r="AG111" s="1">
        <v>0</v>
      </c>
      <c r="AH111" s="1">
        <v>5</v>
      </c>
      <c r="AI111" s="1">
        <v>4</v>
      </c>
      <c r="AJ111" s="1">
        <v>6</v>
      </c>
      <c r="AL111" s="1">
        <f t="shared" si="22"/>
        <v>0</v>
      </c>
    </row>
    <row r="112" spans="1:38" ht="12.75">
      <c r="A112" s="1">
        <v>107</v>
      </c>
      <c r="B112" s="10" t="s">
        <v>323</v>
      </c>
      <c r="C112" s="191">
        <f>VLOOKUP(MID(B112,1,8)-0,'1.6.2023'!$B$9:$G$160,3,FALSE)</f>
        <v>3069.66</v>
      </c>
      <c r="D112" s="191"/>
      <c r="E112" s="11">
        <f>IF('muut muuttujat'!$G$3=1,C112,KÄYTTÖTAULU!$B$13)</f>
        <v>3069.66</v>
      </c>
      <c r="F112" s="11"/>
      <c r="G112" s="11">
        <f>KÄYTTÖTAULU!$F$6</f>
        <v>0</v>
      </c>
      <c r="H112" s="11">
        <f>KÄYTTÖTAULU!$F$6</f>
        <v>0</v>
      </c>
      <c r="I112" s="11"/>
      <c r="J112" s="11"/>
      <c r="O112" s="11"/>
      <c r="P112" s="11"/>
      <c r="Q112" s="11"/>
      <c r="R112" s="24">
        <v>0</v>
      </c>
      <c r="S112" s="25">
        <v>3</v>
      </c>
      <c r="T112" s="25">
        <v>0</v>
      </c>
      <c r="U112" s="25">
        <v>10</v>
      </c>
      <c r="V112" s="25">
        <v>10</v>
      </c>
      <c r="W112" s="49">
        <v>10</v>
      </c>
      <c r="X112" s="25">
        <v>1</v>
      </c>
      <c r="Y112" s="25">
        <f>1+S112/100</f>
        <v>1.03</v>
      </c>
      <c r="Z112" s="25">
        <f aca="true" t="shared" si="40" ref="Z112:AC113">(1+T112/100)*Y112</f>
        <v>1.03</v>
      </c>
      <c r="AA112" s="25">
        <f t="shared" si="40"/>
        <v>1.1330000000000002</v>
      </c>
      <c r="AB112" s="25">
        <f t="shared" si="40"/>
        <v>1.2463000000000004</v>
      </c>
      <c r="AC112" s="49">
        <f t="shared" si="40"/>
        <v>1.3709300000000006</v>
      </c>
      <c r="AE112" s="1">
        <v>0</v>
      </c>
      <c r="AF112" s="1">
        <v>2</v>
      </c>
      <c r="AG112" s="1">
        <v>2</v>
      </c>
      <c r="AH112" s="1">
        <v>10</v>
      </c>
      <c r="AI112" s="1">
        <v>10</v>
      </c>
      <c r="AJ112" s="1">
        <v>10</v>
      </c>
      <c r="AL112" s="1">
        <f t="shared" si="22"/>
        <v>2</v>
      </c>
    </row>
    <row r="113" spans="1:38" ht="12.75">
      <c r="A113" s="1">
        <v>108</v>
      </c>
      <c r="B113" s="10" t="s">
        <v>324</v>
      </c>
      <c r="C113" s="191">
        <f>VLOOKUP(MID(B113,1,8)-0,'1.6.2023'!$B$9:$G$160,3,FALSE)</f>
        <v>2776.33</v>
      </c>
      <c r="D113" s="191"/>
      <c r="E113" s="11">
        <f>IF('muut muuttujat'!$G$3=1,C113,KÄYTTÖTAULU!$B$13)</f>
        <v>2776.33</v>
      </c>
      <c r="F113" s="11"/>
      <c r="G113" s="11">
        <f>KÄYTTÖTAULU!$F$6</f>
        <v>0</v>
      </c>
      <c r="H113" s="11">
        <f>KÄYTTÖTAULU!$F$6</f>
        <v>0</v>
      </c>
      <c r="I113" s="11"/>
      <c r="J113" s="11"/>
      <c r="O113" s="11"/>
      <c r="P113" s="11"/>
      <c r="Q113" s="11"/>
      <c r="R113" s="24">
        <v>0</v>
      </c>
      <c r="S113" s="25">
        <v>3</v>
      </c>
      <c r="T113" s="25">
        <v>0</v>
      </c>
      <c r="U113" s="25">
        <v>10</v>
      </c>
      <c r="V113" s="25">
        <v>10</v>
      </c>
      <c r="W113" s="49">
        <v>10</v>
      </c>
      <c r="X113" s="25">
        <v>1</v>
      </c>
      <c r="Y113" s="25">
        <f>1+S113/100</f>
        <v>1.03</v>
      </c>
      <c r="Z113" s="25">
        <f t="shared" si="40"/>
        <v>1.03</v>
      </c>
      <c r="AA113" s="25">
        <f t="shared" si="40"/>
        <v>1.1330000000000002</v>
      </c>
      <c r="AB113" s="25">
        <f t="shared" si="40"/>
        <v>1.2463000000000004</v>
      </c>
      <c r="AC113" s="49">
        <f t="shared" si="40"/>
        <v>1.3709300000000006</v>
      </c>
      <c r="AE113" s="1">
        <v>0</v>
      </c>
      <c r="AF113" s="1">
        <v>2</v>
      </c>
      <c r="AG113" s="1">
        <v>2</v>
      </c>
      <c r="AH113" s="1">
        <v>10</v>
      </c>
      <c r="AI113" s="1">
        <v>10</v>
      </c>
      <c r="AJ113" s="1">
        <v>10</v>
      </c>
      <c r="AL113" s="1">
        <f t="shared" si="22"/>
        <v>2</v>
      </c>
    </row>
    <row r="114" spans="1:38" ht="12.75">
      <c r="A114" s="1">
        <v>109</v>
      </c>
      <c r="B114" s="10" t="s">
        <v>325</v>
      </c>
      <c r="C114" s="191">
        <f>VLOOKUP(MID(B114,1,8)-0,'1.6.2023'!$B$9:$G$160,3,FALSE)</f>
        <v>2772.61</v>
      </c>
      <c r="D114" s="191">
        <f>VLOOKUP(MID(B114,1,8)-0,'1.6.2023'!$B$9:$G$160,5,FALSE)</f>
        <v>2746.34</v>
      </c>
      <c r="E114" s="11">
        <f>IF('muut muuttujat'!$G$3=1,C114,KÄYTTÖTAULU!$B$13)</f>
        <v>2772.61</v>
      </c>
      <c r="F114" s="11">
        <f>IF('muut muuttujat'!$G$3=1,D114,KÄYTTÖTAULU!$B$13)</f>
        <v>2746.34</v>
      </c>
      <c r="G114" s="11">
        <f>KÄYTTÖTAULU!$F$6</f>
        <v>0</v>
      </c>
      <c r="H114" s="11">
        <f>KÄYTTÖTAULU!$F$6</f>
        <v>0</v>
      </c>
      <c r="I114" s="11">
        <f>G114*0.83</f>
        <v>0</v>
      </c>
      <c r="J114" s="11">
        <f>H114*0.83</f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>ROUND(K114*(12/38),2)</f>
        <v>#DIV/0!</v>
      </c>
      <c r="N114" s="1" t="e">
        <f>ROUND(L114*(12/38),2)</f>
        <v>#DIV/0!</v>
      </c>
      <c r="O114" s="11"/>
      <c r="P114" s="247"/>
      <c r="Q114" s="11"/>
      <c r="R114" s="24">
        <v>0</v>
      </c>
      <c r="S114" s="25">
        <v>3</v>
      </c>
      <c r="T114" s="25">
        <v>0</v>
      </c>
      <c r="U114" s="25">
        <v>9</v>
      </c>
      <c r="V114" s="25">
        <v>6</v>
      </c>
      <c r="W114" s="49">
        <v>6</v>
      </c>
      <c r="X114" s="25">
        <v>1</v>
      </c>
      <c r="Y114" s="25">
        <f t="shared" si="30"/>
        <v>1.03</v>
      </c>
      <c r="Z114" s="25">
        <f t="shared" si="31"/>
        <v>1.03</v>
      </c>
      <c r="AA114" s="25">
        <f t="shared" si="32"/>
        <v>1.1227</v>
      </c>
      <c r="AB114" s="25">
        <f t="shared" si="33"/>
        <v>1.1900620000000002</v>
      </c>
      <c r="AC114" s="49">
        <f t="shared" si="34"/>
        <v>1.2614657200000003</v>
      </c>
      <c r="AE114" s="1">
        <v>0</v>
      </c>
      <c r="AF114" s="1">
        <v>2</v>
      </c>
      <c r="AG114" s="1">
        <v>2</v>
      </c>
      <c r="AH114" s="1">
        <v>9</v>
      </c>
      <c r="AI114" s="1">
        <v>6</v>
      </c>
      <c r="AJ114" s="1">
        <v>6</v>
      </c>
      <c r="AL114" s="1">
        <f t="shared" si="22"/>
        <v>2</v>
      </c>
    </row>
    <row r="115" spans="1:38" ht="12.75">
      <c r="A115" s="1">
        <v>110</v>
      </c>
      <c r="B115" s="10" t="s">
        <v>326</v>
      </c>
      <c r="C115" s="191">
        <f>VLOOKUP(MID(B115,1,8)-0,'1.6.2023'!$B$9:$G$160,3,FALSE)</f>
        <v>2494.67</v>
      </c>
      <c r="D115" s="191">
        <f>VLOOKUP(MID(B115,1,8)-0,'1.6.2023'!$B$9:$G$160,5,FALSE)</f>
        <v>2471.05</v>
      </c>
      <c r="E115" s="11">
        <f>IF('muut muuttujat'!$G$3=1,C115,KÄYTTÖTAULU!$B$13)</f>
        <v>2494.67</v>
      </c>
      <c r="F115" s="11">
        <f>IF('muut muuttujat'!$G$3=1,D115,KÄYTTÖTAULU!$B$13)</f>
        <v>2471.05</v>
      </c>
      <c r="G115" s="11">
        <f>KÄYTTÖTAULU!$F$6</f>
        <v>0</v>
      </c>
      <c r="H115" s="11">
        <f>KÄYTTÖTAULU!$F$6</f>
        <v>0</v>
      </c>
      <c r="I115" s="11">
        <f>G115*0.83</f>
        <v>0</v>
      </c>
      <c r="J115" s="11">
        <f>H115*0.83</f>
        <v>0</v>
      </c>
      <c r="K115" s="1" t="e">
        <f>ROUND(I115/KÄYTTÖTAULU!$I$8,2)</f>
        <v>#DIV/0!</v>
      </c>
      <c r="L115" s="1" t="e">
        <f>ROUND(J115/KÄYTTÖTAULU!$I$8,2)</f>
        <v>#DIV/0!</v>
      </c>
      <c r="M115" s="1" t="e">
        <f>ROUND(K115*(12/38),2)</f>
        <v>#DIV/0!</v>
      </c>
      <c r="N115" s="1" t="e">
        <f>ROUND(L115*(12/38),2)</f>
        <v>#DIV/0!</v>
      </c>
      <c r="O115" s="11"/>
      <c r="P115" s="11"/>
      <c r="Q115" s="11"/>
      <c r="R115" s="24">
        <v>0</v>
      </c>
      <c r="S115" s="25">
        <v>3</v>
      </c>
      <c r="T115" s="25">
        <v>0</v>
      </c>
      <c r="U115" s="25">
        <v>9</v>
      </c>
      <c r="V115" s="25">
        <v>6</v>
      </c>
      <c r="W115" s="49">
        <v>6</v>
      </c>
      <c r="X115" s="25">
        <v>1</v>
      </c>
      <c r="Y115" s="25">
        <f t="shared" si="30"/>
        <v>1.03</v>
      </c>
      <c r="Z115" s="25">
        <f>(1+T115/100)*Y115</f>
        <v>1.03</v>
      </c>
      <c r="AA115" s="25">
        <f>(1+U115/100)*Z115</f>
        <v>1.1227</v>
      </c>
      <c r="AB115" s="25">
        <f t="shared" si="33"/>
        <v>1.1900620000000002</v>
      </c>
      <c r="AC115" s="49">
        <f t="shared" si="34"/>
        <v>1.2614657200000003</v>
      </c>
      <c r="AE115" s="1">
        <v>0</v>
      </c>
      <c r="AF115" s="1">
        <v>2</v>
      </c>
      <c r="AG115" s="1">
        <v>2</v>
      </c>
      <c r="AH115" s="1">
        <v>9</v>
      </c>
      <c r="AI115" s="1">
        <v>6</v>
      </c>
      <c r="AJ115" s="1">
        <v>6</v>
      </c>
      <c r="AL115" s="1">
        <f t="shared" si="22"/>
        <v>2</v>
      </c>
    </row>
    <row r="116" spans="1:38" ht="12.75">
      <c r="A116" s="1">
        <v>111</v>
      </c>
      <c r="B116" s="10" t="s">
        <v>327</v>
      </c>
      <c r="C116" s="191">
        <f>VLOOKUP(MID(B116,1,8)-0,'1.6.2023'!$B$9:$G$160,3,FALSE)</f>
        <v>26.74</v>
      </c>
      <c r="D116" s="191"/>
      <c r="E116" s="11"/>
      <c r="F116" s="11"/>
      <c r="G116" s="11"/>
      <c r="H116" s="11"/>
      <c r="I116" s="11"/>
      <c r="J116" s="11"/>
      <c r="O116" s="11"/>
      <c r="P116" s="11"/>
      <c r="Q116" s="226">
        <f>ROUND(ROUND('1.6.2023'!$D$155*IF('muut muuttujat'!$A$11=1,1,IF('muut muuttujat'!$A$11=2,1.06,IF('muut muuttujat'!$A$11=3,(1.06*1.04),IF('muut muuttujat'!$A$11=4,(1.06*1.04*1.04))))),2)*(1+KÄYTTÖTAULU!$M$20/100),2)</f>
        <v>26.74</v>
      </c>
      <c r="R116" s="24"/>
      <c r="S116" s="25"/>
      <c r="T116" s="25"/>
      <c r="U116" s="25"/>
      <c r="V116" s="25"/>
      <c r="W116" s="49"/>
      <c r="X116" s="25"/>
      <c r="Y116" s="25"/>
      <c r="Z116" s="25"/>
      <c r="AA116" s="25"/>
      <c r="AB116" s="25"/>
      <c r="AC116" s="49"/>
      <c r="AL116" s="1">
        <f t="shared" si="22"/>
        <v>0</v>
      </c>
    </row>
    <row r="117" spans="1:38" ht="12.75">
      <c r="A117" s="1">
        <v>112</v>
      </c>
      <c r="B117" s="10" t="s">
        <v>328</v>
      </c>
      <c r="C117" s="191">
        <f>VLOOKUP(MID(B117,1,8)-0,'1.6.2023'!$B$9:$G$160,3,FALSE)</f>
        <v>3782.69</v>
      </c>
      <c r="D117" s="191">
        <f>VLOOKUP(MID(B117,1,8)-0,'1.6.2023'!$B$9:$G$160,5,FALSE)</f>
        <v>3746.51</v>
      </c>
      <c r="E117" s="11">
        <f>IF('muut muuttujat'!$G$3=1,C117,KÄYTTÖTAULU!$B$13)</f>
        <v>3782.69</v>
      </c>
      <c r="F117" s="11">
        <f>IF('muut muuttujat'!$G$3=1,D117,KÄYTTÖTAULU!$B$13)</f>
        <v>3746.51</v>
      </c>
      <c r="G117" s="11">
        <f>KÄYTTÖTAULU!$F$6</f>
        <v>0</v>
      </c>
      <c r="H117" s="11">
        <f>KÄYTTÖTAULU!$F$6</f>
        <v>0</v>
      </c>
      <c r="I117" s="11"/>
      <c r="J117" s="11"/>
      <c r="O117" s="11"/>
      <c r="P117" s="11"/>
      <c r="Q117" s="208"/>
      <c r="R117" s="24">
        <v>0</v>
      </c>
      <c r="S117" s="25">
        <v>0</v>
      </c>
      <c r="T117" s="25">
        <v>0</v>
      </c>
      <c r="U117" s="25">
        <v>5</v>
      </c>
      <c r="V117" s="25">
        <v>4</v>
      </c>
      <c r="W117" s="49">
        <v>6</v>
      </c>
      <c r="X117" s="25">
        <v>1</v>
      </c>
      <c r="Y117" s="25">
        <f>1+S117/100</f>
        <v>1</v>
      </c>
      <c r="Z117" s="25">
        <f aca="true" t="shared" si="41" ref="Z117:AC120">(1+T117/100)*Y117</f>
        <v>1</v>
      </c>
      <c r="AA117" s="25">
        <f t="shared" si="41"/>
        <v>1.05</v>
      </c>
      <c r="AB117" s="25">
        <f t="shared" si="41"/>
        <v>1.092</v>
      </c>
      <c r="AC117" s="49">
        <f t="shared" si="41"/>
        <v>1.15752</v>
      </c>
      <c r="AE117" s="1">
        <v>0</v>
      </c>
      <c r="AF117" s="1">
        <v>0</v>
      </c>
      <c r="AG117" s="1">
        <v>0</v>
      </c>
      <c r="AH117" s="1">
        <v>5</v>
      </c>
      <c r="AI117" s="1">
        <v>4</v>
      </c>
      <c r="AJ117" s="1">
        <v>6</v>
      </c>
      <c r="AL117" s="1">
        <f t="shared" si="22"/>
        <v>0</v>
      </c>
    </row>
    <row r="118" spans="1:38" ht="12.75">
      <c r="A118" s="1">
        <v>113</v>
      </c>
      <c r="B118" s="10" t="s">
        <v>329</v>
      </c>
      <c r="C118" s="191">
        <f>VLOOKUP(MID(B118,1,8)-0,'1.6.2023'!$B$9:$G$160,3,FALSE)</f>
        <v>3506.94</v>
      </c>
      <c r="D118" s="191">
        <f>VLOOKUP(MID(B118,1,8)-0,'1.6.2023'!$B$9:$G$160,5,FALSE)</f>
        <v>3473.67</v>
      </c>
      <c r="E118" s="11">
        <f>IF('muut muuttujat'!$G$3=1,C118,KÄYTTÖTAULU!$B$13)</f>
        <v>3506.94</v>
      </c>
      <c r="F118" s="11">
        <f>IF('muut muuttujat'!$G$3=1,D118,KÄYTTÖTAULU!$B$13)</f>
        <v>3473.67</v>
      </c>
      <c r="G118" s="11">
        <f>KÄYTTÖTAULU!$F$6</f>
        <v>0</v>
      </c>
      <c r="H118" s="11">
        <f>KÄYTTÖTAULU!$F$6</f>
        <v>0</v>
      </c>
      <c r="I118" s="11"/>
      <c r="J118" s="11"/>
      <c r="O118" s="11"/>
      <c r="P118" s="11"/>
      <c r="Q118" s="208"/>
      <c r="R118" s="24">
        <v>0</v>
      </c>
      <c r="S118" s="25">
        <v>3</v>
      </c>
      <c r="T118" s="25">
        <v>0</v>
      </c>
      <c r="U118" s="25">
        <v>5</v>
      </c>
      <c r="V118" s="25">
        <v>0</v>
      </c>
      <c r="W118" s="49">
        <v>0</v>
      </c>
      <c r="X118" s="25">
        <v>1</v>
      </c>
      <c r="Y118" s="25">
        <f>1+S118/100</f>
        <v>1.03</v>
      </c>
      <c r="Z118" s="25">
        <f t="shared" si="41"/>
        <v>1.03</v>
      </c>
      <c r="AA118" s="25">
        <f t="shared" si="41"/>
        <v>1.0815000000000001</v>
      </c>
      <c r="AB118" s="25">
        <f t="shared" si="41"/>
        <v>1.0815000000000001</v>
      </c>
      <c r="AC118" s="49">
        <f t="shared" si="41"/>
        <v>1.0815000000000001</v>
      </c>
      <c r="AE118" s="1">
        <v>0</v>
      </c>
      <c r="AF118" s="1">
        <v>2</v>
      </c>
      <c r="AG118" s="1">
        <v>2</v>
      </c>
      <c r="AH118" s="1">
        <v>5</v>
      </c>
      <c r="AI118" s="1">
        <v>0</v>
      </c>
      <c r="AJ118" s="1">
        <v>0</v>
      </c>
      <c r="AL118" s="1">
        <f t="shared" si="22"/>
        <v>2</v>
      </c>
    </row>
    <row r="119" spans="1:38" ht="12.75">
      <c r="A119" s="1">
        <v>114</v>
      </c>
      <c r="B119" s="10" t="s">
        <v>330</v>
      </c>
      <c r="C119" s="191">
        <f>VLOOKUP(MID(B119,1,8)-0,'1.6.2023'!$B$9:$G$160,3,FALSE)</f>
        <v>3419.12</v>
      </c>
      <c r="D119" s="191">
        <f>VLOOKUP(MID(B119,1,8)-0,'1.6.2023'!$B$9:$G$160,5,FALSE)</f>
        <v>3386.68</v>
      </c>
      <c r="E119" s="11">
        <f>IF('muut muuttujat'!$G$3=1,C119,KÄYTTÖTAULU!$B$13)</f>
        <v>3419.12</v>
      </c>
      <c r="F119" s="11">
        <f>IF('muut muuttujat'!$G$3=1,D119,KÄYTTÖTAULU!$B$13)</f>
        <v>3386.68</v>
      </c>
      <c r="G119" s="11">
        <f>KÄYTTÖTAULU!$F$6</f>
        <v>0</v>
      </c>
      <c r="H119" s="11">
        <f>KÄYTTÖTAULU!$F$6</f>
        <v>0</v>
      </c>
      <c r="I119" s="11"/>
      <c r="J119" s="11"/>
      <c r="O119" s="11"/>
      <c r="P119" s="11"/>
      <c r="Q119" s="208"/>
      <c r="R119" s="24">
        <v>0</v>
      </c>
      <c r="S119" s="25">
        <v>3</v>
      </c>
      <c r="T119" s="25">
        <v>0</v>
      </c>
      <c r="U119" s="25">
        <v>5</v>
      </c>
      <c r="V119" s="25">
        <v>0</v>
      </c>
      <c r="W119" s="49">
        <v>0</v>
      </c>
      <c r="X119" s="25">
        <v>1</v>
      </c>
      <c r="Y119" s="25">
        <f>1+S119/100</f>
        <v>1.03</v>
      </c>
      <c r="Z119" s="25">
        <f t="shared" si="41"/>
        <v>1.03</v>
      </c>
      <c r="AA119" s="25">
        <f t="shared" si="41"/>
        <v>1.0815000000000001</v>
      </c>
      <c r="AB119" s="25">
        <f t="shared" si="41"/>
        <v>1.0815000000000001</v>
      </c>
      <c r="AC119" s="49">
        <f t="shared" si="41"/>
        <v>1.0815000000000001</v>
      </c>
      <c r="AE119" s="1">
        <v>0</v>
      </c>
      <c r="AF119" s="1">
        <v>2</v>
      </c>
      <c r="AG119" s="1">
        <v>2</v>
      </c>
      <c r="AH119" s="1">
        <v>5</v>
      </c>
      <c r="AI119" s="1">
        <v>0</v>
      </c>
      <c r="AJ119" s="1">
        <v>0</v>
      </c>
      <c r="AL119" s="1">
        <f t="shared" si="22"/>
        <v>2</v>
      </c>
    </row>
    <row r="120" spans="1:38" ht="12.75">
      <c r="A120" s="1">
        <v>115</v>
      </c>
      <c r="B120" s="10" t="s">
        <v>331</v>
      </c>
      <c r="C120" s="191">
        <f>VLOOKUP(MID(B120,1,8)-0,'1.6.2023'!$B$9:$G$160,3,FALSE)</f>
        <v>2935.55</v>
      </c>
      <c r="D120" s="191">
        <f>VLOOKUP(MID(B120,1,8)-0,'1.6.2023'!$B$9:$G$160,5,FALSE)</f>
        <v>2907.71</v>
      </c>
      <c r="E120" s="11">
        <f>IF('muut muuttujat'!$G$3=1,C120,KÄYTTÖTAULU!$B$13)</f>
        <v>2935.55</v>
      </c>
      <c r="F120" s="11">
        <f>IF('muut muuttujat'!$G$3=1,D120,KÄYTTÖTAULU!$B$13)</f>
        <v>2907.71</v>
      </c>
      <c r="G120" s="11">
        <f>KÄYTTÖTAULU!$F$6</f>
        <v>0</v>
      </c>
      <c r="H120" s="11">
        <f>KÄYTTÖTAULU!$F$6</f>
        <v>0</v>
      </c>
      <c r="I120" s="11"/>
      <c r="J120" s="11"/>
      <c r="O120" s="11"/>
      <c r="P120" s="11"/>
      <c r="Q120" s="3"/>
      <c r="R120" s="24">
        <v>0</v>
      </c>
      <c r="S120" s="25">
        <v>3</v>
      </c>
      <c r="T120" s="25">
        <v>0</v>
      </c>
      <c r="U120" s="25">
        <v>5</v>
      </c>
      <c r="V120" s="25">
        <v>0</v>
      </c>
      <c r="W120" s="49">
        <v>0</v>
      </c>
      <c r="X120" s="25">
        <v>1</v>
      </c>
      <c r="Y120" s="25">
        <f>1+S120/100</f>
        <v>1.03</v>
      </c>
      <c r="Z120" s="25">
        <f t="shared" si="41"/>
        <v>1.03</v>
      </c>
      <c r="AA120" s="25">
        <f t="shared" si="41"/>
        <v>1.0815000000000001</v>
      </c>
      <c r="AB120" s="25">
        <f t="shared" si="41"/>
        <v>1.0815000000000001</v>
      </c>
      <c r="AC120" s="49">
        <f t="shared" si="41"/>
        <v>1.0815000000000001</v>
      </c>
      <c r="AE120" s="1">
        <v>0</v>
      </c>
      <c r="AF120" s="1">
        <v>2</v>
      </c>
      <c r="AG120" s="1">
        <v>2</v>
      </c>
      <c r="AH120" s="1">
        <v>5</v>
      </c>
      <c r="AI120" s="1">
        <v>0</v>
      </c>
      <c r="AJ120" s="1">
        <v>0</v>
      </c>
      <c r="AL120" s="1">
        <f t="shared" si="22"/>
        <v>2</v>
      </c>
    </row>
    <row r="121" spans="1:33" ht="12.75">
      <c r="A121" s="1">
        <v>116</v>
      </c>
      <c r="B121" s="10" t="s">
        <v>332</v>
      </c>
      <c r="C121" s="191">
        <f>VLOOKUP(MID(B121,1,8)-0,'1.6.2023'!$B$9:$G$160,3,FALSE)</f>
        <v>26.74</v>
      </c>
      <c r="D121" s="191"/>
      <c r="G121" s="1"/>
      <c r="H121" s="1"/>
      <c r="I121" s="1"/>
      <c r="J121" s="1"/>
      <c r="Q121" s="257">
        <f>ROUND(ROUND('1.6.2023'!D160*IF('muut muuttujat'!$A$11=1,1,IF('muut muuttujat'!$A$11=2,1.06,IF('muut muuttujat'!$A$11=3,(1.06*1.04),IF('muut muuttujat'!$A$11=4,(1.06*1.04*1.04))))),2)*(1+KÄYTTÖTAULU!$M$20/100),2)</f>
        <v>26.74</v>
      </c>
      <c r="R121" s="25"/>
      <c r="S121" s="25"/>
      <c r="T121" s="25"/>
      <c r="U121" s="25"/>
      <c r="V121" s="25"/>
      <c r="W121" s="49"/>
      <c r="X121" s="24"/>
      <c r="Y121" s="25"/>
      <c r="Z121" s="25"/>
      <c r="AA121" s="25"/>
      <c r="AB121" s="25"/>
      <c r="AC121" s="49"/>
      <c r="AD121" s="25"/>
      <c r="AF121" s="11"/>
      <c r="AG121" s="11"/>
    </row>
    <row r="122" spans="1:33" ht="12.75">
      <c r="A122" s="1">
        <v>117</v>
      </c>
      <c r="B122" s="256" t="s">
        <v>466</v>
      </c>
      <c r="Q122" s="49"/>
      <c r="S122" s="1">
        <v>3</v>
      </c>
      <c r="U122" s="1">
        <v>8</v>
      </c>
      <c r="W122" s="49"/>
      <c r="X122" s="1">
        <v>1</v>
      </c>
      <c r="Y122" s="1">
        <v>1.03</v>
      </c>
      <c r="Z122" s="1">
        <v>1.03</v>
      </c>
      <c r="AA122" s="1">
        <v>1.08</v>
      </c>
      <c r="AB122" s="1">
        <v>1.08</v>
      </c>
      <c r="AC122" s="49">
        <v>1.08</v>
      </c>
      <c r="AE122" s="227"/>
      <c r="AF122" s="11"/>
      <c r="AG122" s="11"/>
    </row>
    <row r="123" spans="1:33" ht="12.75">
      <c r="A123" s="1">
        <v>118</v>
      </c>
      <c r="B123" s="256" t="s">
        <v>467</v>
      </c>
      <c r="Q123" s="49"/>
      <c r="S123" s="1">
        <v>3</v>
      </c>
      <c r="U123" s="1">
        <v>8</v>
      </c>
      <c r="W123" s="49"/>
      <c r="X123" s="1">
        <v>1</v>
      </c>
      <c r="Y123" s="1">
        <v>1.03</v>
      </c>
      <c r="Z123" s="1">
        <v>1.03</v>
      </c>
      <c r="AA123" s="1">
        <v>1.08</v>
      </c>
      <c r="AB123" s="1">
        <v>1.08</v>
      </c>
      <c r="AC123" s="49">
        <v>1.08</v>
      </c>
      <c r="AE123" s="227"/>
      <c r="AF123" s="11"/>
      <c r="AG123" s="11"/>
    </row>
    <row r="124" spans="1:33" ht="12.75">
      <c r="A124" s="1">
        <v>119</v>
      </c>
      <c r="B124" s="256" t="s">
        <v>468</v>
      </c>
      <c r="Q124" s="49"/>
      <c r="S124" s="1">
        <v>3</v>
      </c>
      <c r="U124" s="1">
        <v>8</v>
      </c>
      <c r="W124" s="49"/>
      <c r="X124" s="1">
        <v>1</v>
      </c>
      <c r="Y124" s="1">
        <v>1.03</v>
      </c>
      <c r="Z124" s="1">
        <v>1.03</v>
      </c>
      <c r="AA124" s="1">
        <v>1.08</v>
      </c>
      <c r="AB124" s="1">
        <v>1.08</v>
      </c>
      <c r="AC124" s="49">
        <v>1.08</v>
      </c>
      <c r="AE124" s="227"/>
      <c r="AF124" s="11"/>
      <c r="AG124" s="11"/>
    </row>
    <row r="125" spans="1:33" ht="14.25" thickBot="1">
      <c r="A125" s="1">
        <v>120</v>
      </c>
      <c r="B125" s="256" t="s">
        <v>469</v>
      </c>
      <c r="Q125" s="49"/>
      <c r="R125" s="50"/>
      <c r="S125" s="1">
        <v>3</v>
      </c>
      <c r="U125" s="1">
        <v>8</v>
      </c>
      <c r="W125" s="51"/>
      <c r="X125" s="1">
        <v>1</v>
      </c>
      <c r="Y125" s="1">
        <v>1.03</v>
      </c>
      <c r="Z125" s="1">
        <v>1.03</v>
      </c>
      <c r="AA125" s="1">
        <v>1.08</v>
      </c>
      <c r="AB125" s="1">
        <v>1.08</v>
      </c>
      <c r="AC125" s="51">
        <v>1.08</v>
      </c>
      <c r="AE125" s="227"/>
      <c r="AF125" s="11"/>
      <c r="AG125" s="11"/>
    </row>
    <row r="126" spans="17:33" ht="13.5">
      <c r="Q126" s="49"/>
      <c r="R126" s="59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25"/>
      <c r="AE126" s="227"/>
      <c r="AF126" s="11"/>
      <c r="AG126" s="11"/>
    </row>
    <row r="127" spans="18:29" ht="13.5"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38" ht="13.5">
      <c r="B138" s="15"/>
    </row>
    <row r="139" ht="13.5">
      <c r="B139" s="3"/>
    </row>
    <row r="141" ht="13.5">
      <c r="B141" s="16"/>
    </row>
    <row r="143" ht="13.5">
      <c r="B143" s="15"/>
    </row>
    <row r="149" spans="3:14" ht="13.5">
      <c r="C149" s="129"/>
      <c r="D149" s="25"/>
      <c r="E149" s="25"/>
      <c r="F149" s="130"/>
      <c r="G149" s="25"/>
      <c r="H149" s="131"/>
      <c r="I149" s="131"/>
      <c r="J149" s="1"/>
      <c r="K149" s="128"/>
      <c r="L149" s="128"/>
      <c r="M149" s="128"/>
      <c r="N149" s="128"/>
    </row>
    <row r="150" spans="2:14" ht="13.5">
      <c r="B150" s="12"/>
      <c r="C150" s="25"/>
      <c r="D150" s="129"/>
      <c r="E150" s="127"/>
      <c r="F150" s="25"/>
      <c r="G150" s="25"/>
      <c r="H150" s="25"/>
      <c r="I150" s="25"/>
      <c r="J150" s="1"/>
      <c r="K150" s="128"/>
      <c r="L150" s="128"/>
      <c r="M150" s="128"/>
      <c r="N150" s="128"/>
    </row>
    <row r="151" ht="13.5">
      <c r="B151" s="18"/>
    </row>
    <row r="153" ht="13.5">
      <c r="B153" s="16"/>
    </row>
    <row r="160" spans="3:10" ht="13.5">
      <c r="C160" s="25"/>
      <c r="D160" s="25"/>
      <c r="E160" s="25"/>
      <c r="F160" s="25"/>
      <c r="G160" s="25"/>
      <c r="H160" s="25"/>
      <c r="I160" s="25"/>
      <c r="J160" s="1"/>
    </row>
    <row r="161" ht="13.5">
      <c r="C161" s="14"/>
    </row>
    <row r="162" ht="13.5">
      <c r="C162" s="14"/>
    </row>
    <row r="163" ht="13.5">
      <c r="C163" s="14"/>
    </row>
    <row r="164" ht="13.5">
      <c r="C164" s="14"/>
    </row>
    <row r="165" ht="13.5">
      <c r="C165" s="14"/>
    </row>
    <row r="166" spans="3:7" ht="13.5">
      <c r="C166" s="14"/>
      <c r="G166" s="1"/>
    </row>
    <row r="167" ht="13.5">
      <c r="C167" s="14"/>
    </row>
    <row r="168" spans="3:7" ht="13.5">
      <c r="C168" s="19"/>
      <c r="D168" s="6"/>
      <c r="E168" s="6"/>
      <c r="G168" s="1"/>
    </row>
    <row r="169" spans="2:3" ht="13.5">
      <c r="B169" s="3"/>
      <c r="C169" s="14"/>
    </row>
    <row r="171" ht="13.5">
      <c r="C171" s="21"/>
    </row>
    <row r="173" spans="2:3" ht="13.5">
      <c r="B173" s="3"/>
      <c r="C173" s="14"/>
    </row>
    <row r="175" ht="13.5">
      <c r="C175" s="21"/>
    </row>
    <row r="176" ht="13.5">
      <c r="C176" s="21"/>
    </row>
    <row r="177" ht="13.5">
      <c r="C177" s="21"/>
    </row>
    <row r="179" spans="2:3" ht="13.5">
      <c r="B179" s="3"/>
      <c r="C179" s="14"/>
    </row>
    <row r="181" ht="13.5">
      <c r="C181" s="21"/>
    </row>
    <row r="182" ht="13.5">
      <c r="C182" s="21"/>
    </row>
    <row r="183" ht="13.5">
      <c r="C183" s="21"/>
    </row>
    <row r="185" spans="2:7" ht="13.5">
      <c r="B185" s="3"/>
      <c r="C185" s="14"/>
      <c r="D185" s="6"/>
      <c r="E185" s="6"/>
      <c r="G185" s="1"/>
    </row>
    <row r="186" spans="3:7" ht="13.5">
      <c r="C186" s="14"/>
      <c r="D186" s="6"/>
      <c r="E186" s="6"/>
      <c r="G186" s="1"/>
    </row>
    <row r="187" spans="3:7" ht="13.5">
      <c r="C187" s="21"/>
      <c r="D187" s="1"/>
      <c r="G187" s="1"/>
    </row>
    <row r="188" spans="3:7" ht="13.5">
      <c r="C188" s="21"/>
      <c r="D188" s="6"/>
      <c r="E188" s="6"/>
      <c r="G188" s="1"/>
    </row>
    <row r="189" spans="3:7" ht="13.5">
      <c r="C189" s="21"/>
      <c r="G189" s="1"/>
    </row>
    <row r="190" spans="3:7" ht="13.5">
      <c r="C190" s="21"/>
      <c r="D190" s="6"/>
      <c r="E190" s="6"/>
      <c r="G190" s="1"/>
    </row>
    <row r="191" spans="3:7" ht="13.5">
      <c r="C191" s="21"/>
      <c r="D191" s="6"/>
      <c r="E191" s="6"/>
      <c r="G191" s="1"/>
    </row>
    <row r="192" spans="2:7" ht="13.5">
      <c r="B192" s="3"/>
      <c r="C192" s="14"/>
      <c r="G192" s="1"/>
    </row>
    <row r="193" spans="3:7" ht="13.5">
      <c r="C193" s="13"/>
      <c r="G193" s="1"/>
    </row>
    <row r="194" spans="3:7" ht="13.5">
      <c r="C194" s="2"/>
      <c r="G194" s="1"/>
    </row>
    <row r="195" ht="13.5">
      <c r="G195" s="1"/>
    </row>
    <row r="196" spans="2:7" ht="13.5">
      <c r="B196" s="3"/>
      <c r="C196" s="14"/>
      <c r="D196" s="6"/>
      <c r="E196" s="6"/>
      <c r="F196" s="13"/>
      <c r="G196" s="1"/>
    </row>
    <row r="197" spans="3:7" ht="13.5">
      <c r="C197" s="19"/>
      <c r="D197" s="6"/>
      <c r="E197" s="19"/>
      <c r="F197" s="13"/>
      <c r="G197" s="1"/>
    </row>
    <row r="198" spans="3:7" ht="13.5">
      <c r="C198" s="21"/>
      <c r="D198" s="20"/>
      <c r="E198" s="2"/>
      <c r="F198" s="13"/>
      <c r="G198" s="1"/>
    </row>
    <row r="199" spans="3:7" ht="13.5">
      <c r="C199" s="21"/>
      <c r="D199" s="17"/>
      <c r="E199" s="2"/>
      <c r="G199" s="1"/>
    </row>
    <row r="200" spans="3:7" ht="13.5">
      <c r="C200" s="22"/>
      <c r="D200" s="13"/>
      <c r="E200" s="13"/>
      <c r="G200" s="1"/>
    </row>
    <row r="201" spans="2:7" ht="13.5">
      <c r="B201" s="13"/>
      <c r="C201" s="21"/>
      <c r="D201" s="13"/>
      <c r="E201" s="13"/>
      <c r="G201" s="1"/>
    </row>
    <row r="202" spans="2:7" ht="13.5">
      <c r="B202" s="13"/>
      <c r="C202" s="21"/>
      <c r="D202" s="13"/>
      <c r="E202" s="13"/>
      <c r="G202" s="1"/>
    </row>
    <row r="203" spans="3:7" ht="13.5">
      <c r="C203" s="21"/>
      <c r="D203" s="13"/>
      <c r="E203" s="13"/>
      <c r="G203" s="1"/>
    </row>
    <row r="204" spans="2:7" ht="13.5">
      <c r="B204" s="13"/>
      <c r="C204" s="21"/>
      <c r="D204" s="6"/>
      <c r="E204" s="19"/>
      <c r="G204" s="1"/>
    </row>
    <row r="205" spans="2:7" ht="13.5">
      <c r="B205" s="13"/>
      <c r="C205" s="2"/>
      <c r="D205" s="6"/>
      <c r="E205" s="19"/>
      <c r="G205" s="1"/>
    </row>
    <row r="206" spans="2:7" ht="13.5">
      <c r="B206" s="3"/>
      <c r="C206" s="14"/>
      <c r="G206" s="1"/>
    </row>
    <row r="207" ht="13.5">
      <c r="C207" s="19"/>
    </row>
    <row r="208" spans="3:7" ht="13.5">
      <c r="C208" s="2"/>
      <c r="D208" s="6"/>
      <c r="E208" s="6"/>
      <c r="G208" s="1"/>
    </row>
    <row r="209" spans="3:7" ht="13.5">
      <c r="C209" s="2"/>
      <c r="D209" s="13"/>
      <c r="E209" s="13"/>
      <c r="G209" s="1"/>
    </row>
    <row r="210" spans="3:7" ht="13.5">
      <c r="C210" s="6"/>
      <c r="D210" s="1"/>
      <c r="G210" s="1"/>
    </row>
    <row r="211" ht="13.5">
      <c r="G211" s="1"/>
    </row>
    <row r="212" spans="2:7" ht="13.5">
      <c r="B212" s="3"/>
      <c r="C212" s="14"/>
      <c r="D212" s="6"/>
      <c r="E212" s="6"/>
      <c r="F212" s="13"/>
      <c r="G212" s="1"/>
    </row>
    <row r="213" spans="2:7" ht="13.5">
      <c r="B213" s="13"/>
      <c r="C213" s="13"/>
      <c r="D213" s="6"/>
      <c r="E213" s="6"/>
      <c r="F213" s="13"/>
      <c r="G213" s="1"/>
    </row>
    <row r="214" spans="3:7" ht="13.5">
      <c r="C214" s="2"/>
      <c r="D214" s="13"/>
      <c r="E214" s="13"/>
      <c r="F214" s="13"/>
      <c r="G214" s="1"/>
    </row>
    <row r="215" spans="3:7" ht="13.5">
      <c r="C215" s="6"/>
      <c r="D215" s="13"/>
      <c r="E215" s="13"/>
      <c r="F215" s="13"/>
      <c r="G215" s="1"/>
    </row>
    <row r="216" spans="2:6" ht="13.5">
      <c r="B216" s="13"/>
      <c r="C216" s="6"/>
      <c r="D216" s="13"/>
      <c r="E216" s="13"/>
      <c r="F216" s="13"/>
    </row>
    <row r="217" spans="4:6" ht="13.5">
      <c r="D217" s="13"/>
      <c r="E217" s="13"/>
      <c r="F217" s="13"/>
    </row>
    <row r="218" spans="4:6" ht="13.5">
      <c r="D218" s="13"/>
      <c r="E218" s="13"/>
      <c r="F218" s="13"/>
    </row>
    <row r="219" spans="4:6" ht="13.5">
      <c r="D219" s="13"/>
      <c r="E219" s="13"/>
      <c r="F219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Z35"/>
  <sheetViews>
    <sheetView zoomScalePageLayoutView="0" workbookViewId="0" topLeftCell="A1">
      <selection activeCell="C157" sqref="C157"/>
    </sheetView>
  </sheetViews>
  <sheetFormatPr defaultColWidth="9.140625" defaultRowHeight="12.75"/>
  <cols>
    <col min="2" max="2" width="48.28125" style="0" customWidth="1"/>
    <col min="4" max="4" width="11.57421875" style="0" customWidth="1"/>
    <col min="20" max="20" width="7.421875" style="0" customWidth="1"/>
  </cols>
  <sheetData>
    <row r="1" s="183" customFormat="1" ht="13.5">
      <c r="A1" s="126" t="s">
        <v>349</v>
      </c>
    </row>
    <row r="2" spans="17:20" s="183" customFormat="1" ht="12">
      <c r="Q2"/>
      <c r="R2"/>
      <c r="S2"/>
      <c r="T2"/>
    </row>
    <row r="3" spans="3:20" s="183" customFormat="1" ht="12.75" thickBot="1">
      <c r="C3" s="183" t="s">
        <v>169</v>
      </c>
      <c r="D3" s="183" t="s">
        <v>169</v>
      </c>
      <c r="E3" s="183" t="s">
        <v>169</v>
      </c>
      <c r="F3" s="183" t="s">
        <v>169</v>
      </c>
      <c r="G3" s="183" t="s">
        <v>169</v>
      </c>
      <c r="H3" s="183" t="s">
        <v>169</v>
      </c>
      <c r="I3" s="183" t="s">
        <v>170</v>
      </c>
      <c r="J3" s="183" t="s">
        <v>170</v>
      </c>
      <c r="K3" s="183" t="s">
        <v>170</v>
      </c>
      <c r="L3" s="183" t="s">
        <v>170</v>
      </c>
      <c r="M3" s="183" t="s">
        <v>170</v>
      </c>
      <c r="N3" s="238" t="s">
        <v>170</v>
      </c>
      <c r="R3"/>
      <c r="S3"/>
      <c r="T3"/>
    </row>
    <row r="4" spans="1:21" s="183" customFormat="1" ht="14.25" thickBot="1">
      <c r="A4" s="145">
        <v>1</v>
      </c>
      <c r="B4" s="183" t="s">
        <v>164</v>
      </c>
      <c r="C4" s="183" t="s">
        <v>159</v>
      </c>
      <c r="D4" s="183" t="s">
        <v>335</v>
      </c>
      <c r="E4" s="183" t="s">
        <v>334</v>
      </c>
      <c r="F4" s="183" t="s">
        <v>160</v>
      </c>
      <c r="G4" s="183" t="s">
        <v>161</v>
      </c>
      <c r="H4" s="238" t="s">
        <v>336</v>
      </c>
      <c r="I4" s="183" t="s">
        <v>159</v>
      </c>
      <c r="J4" s="183" t="s">
        <v>335</v>
      </c>
      <c r="K4" s="183" t="s">
        <v>334</v>
      </c>
      <c r="L4" s="183" t="s">
        <v>160</v>
      </c>
      <c r="M4" s="183" t="s">
        <v>161</v>
      </c>
      <c r="N4" s="238" t="s">
        <v>336</v>
      </c>
      <c r="R4"/>
      <c r="S4"/>
      <c r="T4"/>
      <c r="U4" s="25"/>
    </row>
    <row r="5" spans="1:20" s="183" customFormat="1" ht="12.75">
      <c r="A5" s="258">
        <v>1</v>
      </c>
      <c r="B5" s="183" t="s">
        <v>460</v>
      </c>
      <c r="C5" s="248">
        <f>'1.6.2023'!D129</f>
        <v>3659.11</v>
      </c>
      <c r="D5" s="248">
        <f>'1.6.2023'!E129</f>
        <v>3861.51</v>
      </c>
      <c r="E5" s="248">
        <f>'1.6.2023'!F129</f>
        <v>4004.53</v>
      </c>
      <c r="F5" s="248">
        <f>'1.6.2023'!G129</f>
        <v>4227.66</v>
      </c>
      <c r="G5" s="248">
        <f>'1.6.2023'!H129</f>
        <v>4464.17</v>
      </c>
      <c r="H5" s="248">
        <f>'1.6.2023'!I129</f>
        <v>4714.9</v>
      </c>
      <c r="I5" s="248">
        <f>'1.6.2023'!J129</f>
        <v>3624.36</v>
      </c>
      <c r="J5" s="248">
        <f>'1.6.2023'!K129</f>
        <v>3824.84</v>
      </c>
      <c r="K5" s="248">
        <f>'1.6.2023'!L129</f>
        <v>3966.53</v>
      </c>
      <c r="L5" s="248">
        <f>'1.6.2023'!M129</f>
        <v>4187.53</v>
      </c>
      <c r="M5" s="248">
        <f>'1.6.2023'!N129</f>
        <v>4421.81</v>
      </c>
      <c r="N5" s="248">
        <f>'1.6.2023'!O129</f>
        <v>4670.13</v>
      </c>
      <c r="Q5"/>
      <c r="R5"/>
      <c r="S5"/>
      <c r="T5"/>
    </row>
    <row r="6" spans="1:26" s="183" customFormat="1" ht="12.75">
      <c r="A6" s="258">
        <v>2</v>
      </c>
      <c r="B6" s="183" t="s">
        <v>337</v>
      </c>
      <c r="C6" s="248">
        <f>'1.6.2023'!D130</f>
        <v>3352.64</v>
      </c>
      <c r="D6" s="248">
        <f>'1.6.2023'!E130</f>
        <v>3419.69</v>
      </c>
      <c r="E6" s="248">
        <f>'1.6.2023'!F130</f>
        <v>3522.28</v>
      </c>
      <c r="F6" s="248">
        <f>'1.6.2023'!G130</f>
        <v>3698.38</v>
      </c>
      <c r="G6" s="248">
        <f>'1.6.2023'!H130</f>
        <v>3992.65</v>
      </c>
      <c r="H6" s="248">
        <f>'1.6.2023'!I130</f>
        <v>4152.36</v>
      </c>
      <c r="I6" s="248">
        <f>'1.6.2023'!J130</f>
        <v>3320.34</v>
      </c>
      <c r="J6" s="248">
        <f>'1.6.2023'!K130</f>
        <v>3386.74</v>
      </c>
      <c r="K6" s="248">
        <f>'1.6.2023'!L130</f>
        <v>3488.35</v>
      </c>
      <c r="L6" s="248">
        <f>'1.6.2023'!M130</f>
        <v>3662.8</v>
      </c>
      <c r="M6" s="248">
        <f>'1.6.2023'!N130</f>
        <v>3954.19</v>
      </c>
      <c r="N6" s="248">
        <f>'1.6.2023'!O130</f>
        <v>4112.36</v>
      </c>
      <c r="Q6"/>
      <c r="R6"/>
      <c r="S6"/>
      <c r="T6"/>
      <c r="Z6"/>
    </row>
    <row r="7" spans="1:26" s="183" customFormat="1" ht="13.5">
      <c r="A7" s="258">
        <v>3</v>
      </c>
      <c r="B7" s="183" t="s">
        <v>338</v>
      </c>
      <c r="C7" s="248">
        <f>'1.6.2023'!D131</f>
        <v>3659.11</v>
      </c>
      <c r="D7" s="248">
        <f>'1.6.2023'!E131</f>
        <v>3861.51</v>
      </c>
      <c r="E7" s="248">
        <f>'1.6.2023'!F131</f>
        <v>4004.53</v>
      </c>
      <c r="F7" s="248">
        <f>'1.6.2023'!G131</f>
        <v>4227.66</v>
      </c>
      <c r="G7" s="248">
        <f>'1.6.2023'!H131</f>
        <v>4464.17</v>
      </c>
      <c r="H7" s="248">
        <f>'1.6.2023'!I131</f>
        <v>4714.9</v>
      </c>
      <c r="I7" s="248">
        <f>'1.6.2023'!J131</f>
        <v>3624.36</v>
      </c>
      <c r="J7" s="248">
        <f>'1.6.2023'!K131</f>
        <v>3824.84</v>
      </c>
      <c r="K7" s="248">
        <f>'1.6.2023'!L131</f>
        <v>3966.53</v>
      </c>
      <c r="L7" s="248">
        <f>'1.6.2023'!M131</f>
        <v>4187.53</v>
      </c>
      <c r="M7" s="248">
        <f>'1.6.2023'!N131</f>
        <v>4421.81</v>
      </c>
      <c r="N7" s="248">
        <f>'1.6.2023'!O131</f>
        <v>4670.13</v>
      </c>
      <c r="Q7"/>
      <c r="R7"/>
      <c r="S7"/>
      <c r="T7"/>
      <c r="U7" s="25"/>
      <c r="Z7"/>
    </row>
    <row r="8" spans="1:26" s="183" customFormat="1" ht="13.5">
      <c r="A8" s="258">
        <v>4</v>
      </c>
      <c r="B8" s="183" t="s">
        <v>339</v>
      </c>
      <c r="C8" s="248">
        <f>'1.6.2023'!D133</f>
        <v>3235.77</v>
      </c>
      <c r="D8" s="248">
        <f>'1.6.2023'!E133</f>
        <v>3414.76</v>
      </c>
      <c r="E8" s="248">
        <f>'1.6.2023'!F133</f>
        <v>3541.25</v>
      </c>
      <c r="F8" s="248">
        <f>'1.6.2023'!G133</f>
        <v>3738.56</v>
      </c>
      <c r="G8" s="248">
        <f>'1.6.2023'!H133</f>
        <v>3947.71</v>
      </c>
      <c r="H8" s="248">
        <f>'1.6.2023'!I133</f>
        <v>4169.42</v>
      </c>
      <c r="I8" s="248">
        <f>'1.6.2023'!J133</f>
        <v>3205.06</v>
      </c>
      <c r="J8" s="248">
        <f>'1.6.2023'!K133</f>
        <v>3382.36</v>
      </c>
      <c r="K8" s="248">
        <f>'1.6.2023'!L133</f>
        <v>3507.64</v>
      </c>
      <c r="L8" s="248">
        <f>'1.6.2023'!M133</f>
        <v>3703.08</v>
      </c>
      <c r="M8" s="248">
        <f>'1.6.2023'!N133</f>
        <v>3910.25</v>
      </c>
      <c r="N8" s="248">
        <f>'1.6.2023'!O133</f>
        <v>4129.85</v>
      </c>
      <c r="Q8"/>
      <c r="R8"/>
      <c r="S8"/>
      <c r="T8"/>
      <c r="U8" s="25"/>
      <c r="Z8"/>
    </row>
    <row r="9" spans="1:21" s="183" customFormat="1" ht="13.5">
      <c r="A9" s="258">
        <v>5</v>
      </c>
      <c r="B9" s="183" t="s">
        <v>340</v>
      </c>
      <c r="C9" s="248">
        <f>'1.6.2023'!D135</f>
        <v>2975.36</v>
      </c>
      <c r="D9" s="248">
        <f>'1.6.2023'!E135</f>
        <v>3139.94</v>
      </c>
      <c r="E9" s="248">
        <f>'1.6.2023'!F135</f>
        <v>3256.24</v>
      </c>
      <c r="F9" s="248">
        <f>'1.6.2023'!G135</f>
        <v>3437.69</v>
      </c>
      <c r="G9" s="248">
        <f>'1.6.2023'!H135</f>
        <v>3630.01</v>
      </c>
      <c r="H9" s="248">
        <f>'1.6.2023'!I135</f>
        <v>3833.87</v>
      </c>
      <c r="I9" s="248">
        <f>'1.6.2023'!J135</f>
        <v>2947.17</v>
      </c>
      <c r="J9" s="248">
        <f>'1.6.2023'!K135</f>
        <v>3110.2</v>
      </c>
      <c r="K9" s="248">
        <f>'1.6.2023'!L135</f>
        <v>3225.39</v>
      </c>
      <c r="L9" s="248">
        <f>'1.6.2023'!M135</f>
        <v>3405.13</v>
      </c>
      <c r="M9" s="248">
        <f>'1.6.2023'!N135</f>
        <v>3595.62</v>
      </c>
      <c r="N9" s="248">
        <f>'1.6.2023'!O135</f>
        <v>3797.55</v>
      </c>
      <c r="Q9"/>
      <c r="R9"/>
      <c r="S9"/>
      <c r="T9"/>
      <c r="U9" s="25"/>
    </row>
    <row r="10" spans="1:26" s="183" customFormat="1" ht="13.5">
      <c r="A10" s="258">
        <v>6</v>
      </c>
      <c r="B10" s="183" t="s">
        <v>341</v>
      </c>
      <c r="C10" s="248">
        <f>'1.6.2023'!D137</f>
        <v>2969.63</v>
      </c>
      <c r="D10" s="248">
        <f>'1.6.2023'!E137</f>
        <v>3133.9</v>
      </c>
      <c r="E10" s="248">
        <f>'1.6.2023'!F137</f>
        <v>3249.99</v>
      </c>
      <c r="F10" s="248">
        <f>'1.6.2023'!G137</f>
        <v>3431.07</v>
      </c>
      <c r="G10" s="248">
        <f>'1.6.2023'!H137</f>
        <v>3623.02</v>
      </c>
      <c r="H10" s="248">
        <f>'1.6.2023'!I137</f>
        <v>3826.48</v>
      </c>
      <c r="I10" s="248">
        <f>'1.6.2023'!J137</f>
        <v>2941.4</v>
      </c>
      <c r="J10" s="248">
        <f>'1.6.2023'!K137</f>
        <v>3104.14</v>
      </c>
      <c r="K10" s="248">
        <f>'1.6.2023'!L137</f>
        <v>3219.11</v>
      </c>
      <c r="L10" s="248">
        <f>'1.6.2023'!M137</f>
        <v>3398.48</v>
      </c>
      <c r="M10" s="248">
        <f>'1.6.2023'!N137</f>
        <v>3588.6</v>
      </c>
      <c r="N10" s="248">
        <f>'1.6.2023'!O137</f>
        <v>3790.13</v>
      </c>
      <c r="Q10"/>
      <c r="R10"/>
      <c r="S10"/>
      <c r="T10"/>
      <c r="U10" s="25"/>
      <c r="Z10"/>
    </row>
    <row r="11" spans="1:26" s="183" customFormat="1" ht="13.5">
      <c r="A11" s="258">
        <v>7</v>
      </c>
      <c r="B11" s="183" t="s">
        <v>342</v>
      </c>
      <c r="C11" s="248">
        <f>'1.6.2023'!D132</f>
        <v>3659.11</v>
      </c>
      <c r="D11" s="248">
        <f>'1.6.2023'!E132</f>
        <v>3861.51</v>
      </c>
      <c r="E11" s="248">
        <f>'1.6.2023'!F132</f>
        <v>4004.53</v>
      </c>
      <c r="F11" s="248">
        <f>'1.6.2023'!G132</f>
        <v>4227.66</v>
      </c>
      <c r="G11" s="248">
        <f>'1.6.2023'!H132</f>
        <v>4464.17</v>
      </c>
      <c r="H11" s="248">
        <f>'1.6.2023'!I132</f>
        <v>4714.9</v>
      </c>
      <c r="I11" s="248">
        <f>'1.6.2023'!J132</f>
        <v>3624.36</v>
      </c>
      <c r="J11" s="248">
        <f>'1.6.2023'!K132</f>
        <v>3824.84</v>
      </c>
      <c r="K11" s="248">
        <f>'1.6.2023'!L132</f>
        <v>3966.53</v>
      </c>
      <c r="L11" s="248">
        <f>'1.6.2023'!M132</f>
        <v>4187.53</v>
      </c>
      <c r="M11" s="248">
        <f>'1.6.2023'!N132</f>
        <v>4421.81</v>
      </c>
      <c r="N11" s="248">
        <f>'1.6.2023'!O132</f>
        <v>4670.13</v>
      </c>
      <c r="Q11"/>
      <c r="R11"/>
      <c r="S11"/>
      <c r="T11"/>
      <c r="U11" s="25"/>
      <c r="Z11"/>
    </row>
    <row r="12" spans="1:26" s="183" customFormat="1" ht="13.5">
      <c r="A12" s="258">
        <v>8</v>
      </c>
      <c r="B12" s="183" t="s">
        <v>343</v>
      </c>
      <c r="C12" s="248">
        <f>'1.6.2023'!D134</f>
        <v>3235.77</v>
      </c>
      <c r="D12" s="248">
        <f>'1.6.2023'!E134</f>
        <v>3414.76</v>
      </c>
      <c r="E12" s="248">
        <f>'1.6.2023'!F134</f>
        <v>3541.25</v>
      </c>
      <c r="F12" s="248">
        <f>'1.6.2023'!G134</f>
        <v>3738.56</v>
      </c>
      <c r="G12" s="248">
        <f>'1.6.2023'!H134</f>
        <v>3947.71</v>
      </c>
      <c r="H12" s="248">
        <f>'1.6.2023'!I134</f>
        <v>4169.42</v>
      </c>
      <c r="I12" s="248">
        <f>'1.6.2023'!J134</f>
        <v>3205.06</v>
      </c>
      <c r="J12" s="248">
        <f>'1.6.2023'!K134</f>
        <v>3382.36</v>
      </c>
      <c r="K12" s="248">
        <f>'1.6.2023'!L134</f>
        <v>3507.64</v>
      </c>
      <c r="L12" s="248">
        <f>'1.6.2023'!M134</f>
        <v>3703.08</v>
      </c>
      <c r="M12" s="248">
        <f>'1.6.2023'!N134</f>
        <v>3910.25</v>
      </c>
      <c r="N12" s="248">
        <f>'1.6.2023'!O134</f>
        <v>4129.85</v>
      </c>
      <c r="Q12"/>
      <c r="R12"/>
      <c r="S12"/>
      <c r="T12"/>
      <c r="U12" s="25"/>
      <c r="Z12"/>
    </row>
    <row r="13" spans="1:21" s="183" customFormat="1" ht="13.5">
      <c r="A13" s="258">
        <v>9</v>
      </c>
      <c r="B13" s="183" t="s">
        <v>344</v>
      </c>
      <c r="C13" s="248">
        <f>'1.6.2023'!D136</f>
        <v>2975.36</v>
      </c>
      <c r="D13" s="248">
        <f>'1.6.2023'!E136</f>
        <v>3139.94</v>
      </c>
      <c r="E13" s="248">
        <f>'1.6.2023'!F136</f>
        <v>3256.24</v>
      </c>
      <c r="F13" s="248">
        <f>'1.6.2023'!G136</f>
        <v>3437.69</v>
      </c>
      <c r="G13" s="248">
        <f>'1.6.2023'!H136</f>
        <v>3630.01</v>
      </c>
      <c r="H13" s="248">
        <f>'1.6.2023'!I136</f>
        <v>3833.87</v>
      </c>
      <c r="I13" s="248">
        <f>'1.6.2023'!J136</f>
        <v>2947.17</v>
      </c>
      <c r="J13" s="248">
        <f>'1.6.2023'!K136</f>
        <v>3110.2</v>
      </c>
      <c r="K13" s="248">
        <f>'1.6.2023'!L136</f>
        <v>3225.39</v>
      </c>
      <c r="L13" s="248">
        <f>'1.6.2023'!M136</f>
        <v>3405.13</v>
      </c>
      <c r="M13" s="248">
        <f>'1.6.2023'!N136</f>
        <v>3595.62</v>
      </c>
      <c r="N13" s="248">
        <f>'1.6.2023'!O136</f>
        <v>3797.55</v>
      </c>
      <c r="Q13"/>
      <c r="R13"/>
      <c r="S13"/>
      <c r="T13"/>
      <c r="U13" s="25"/>
    </row>
    <row r="14" spans="1:21" s="183" customFormat="1" ht="13.5">
      <c r="A14" s="258">
        <v>10</v>
      </c>
      <c r="B14" s="183" t="s">
        <v>345</v>
      </c>
      <c r="C14" s="248">
        <f>'1.6.2023'!D138</f>
        <v>2969.63</v>
      </c>
      <c r="D14" s="248">
        <f>'1.6.2023'!E138</f>
        <v>3133.9</v>
      </c>
      <c r="E14" s="248">
        <f>'1.6.2023'!F138</f>
        <v>3249.99</v>
      </c>
      <c r="F14" s="248">
        <f>'1.6.2023'!G138</f>
        <v>3431.07</v>
      </c>
      <c r="G14" s="248">
        <f>'1.6.2023'!H138</f>
        <v>3623.02</v>
      </c>
      <c r="H14" s="248">
        <f>'1.6.2023'!I138</f>
        <v>3826.48</v>
      </c>
      <c r="I14" s="248">
        <f>'1.6.2023'!J138</f>
        <v>2941.4</v>
      </c>
      <c r="J14" s="248">
        <f>'1.6.2023'!K138</f>
        <v>3104.14</v>
      </c>
      <c r="K14" s="248">
        <f>'1.6.2023'!L138</f>
        <v>3219.11</v>
      </c>
      <c r="L14" s="248">
        <f>'1.6.2023'!M138</f>
        <v>3398.48</v>
      </c>
      <c r="M14" s="248">
        <f>'1.6.2023'!N138</f>
        <v>3588.6</v>
      </c>
      <c r="N14" s="248">
        <f>'1.6.2023'!O138</f>
        <v>3790.13</v>
      </c>
      <c r="Q14"/>
      <c r="R14"/>
      <c r="S14"/>
      <c r="T14"/>
      <c r="U14" s="25"/>
    </row>
    <row r="15" s="239" customFormat="1" ht="12.75"/>
    <row r="16" spans="3:21" s="183" customFormat="1" ht="13.5"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Q16"/>
      <c r="R16"/>
      <c r="S16"/>
      <c r="T16"/>
      <c r="U16" s="25"/>
    </row>
    <row r="17" spans="3:21" s="183" customFormat="1" ht="13.5"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Q17"/>
      <c r="R17"/>
      <c r="S17"/>
      <c r="T17"/>
      <c r="U17" s="25"/>
    </row>
    <row r="18" spans="3:11" s="183" customFormat="1" ht="13.5" thickBot="1">
      <c r="C18" s="246"/>
      <c r="D18" s="243"/>
      <c r="E18" s="243"/>
      <c r="F18" s="243"/>
      <c r="G18" s="243"/>
      <c r="H18" s="243"/>
      <c r="I18" s="243"/>
      <c r="J18" s="243"/>
      <c r="K18" s="243"/>
    </row>
    <row r="19" spans="1:11" s="183" customFormat="1" ht="87" customHeight="1" thickBot="1">
      <c r="A19" s="26">
        <v>1</v>
      </c>
      <c r="B19" s="25" t="s">
        <v>0</v>
      </c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s="183" customFormat="1" ht="13.5">
      <c r="A20" s="25">
        <v>1</v>
      </c>
      <c r="B20" s="25" t="s">
        <v>2</v>
      </c>
      <c r="C20" s="242"/>
      <c r="D20" s="241"/>
      <c r="E20" s="241"/>
      <c r="F20" s="241"/>
      <c r="G20" s="241"/>
      <c r="H20" s="241"/>
      <c r="I20" s="241"/>
      <c r="J20" s="241"/>
      <c r="K20" s="241"/>
    </row>
    <row r="21" spans="1:11" s="183" customFormat="1" ht="13.5">
      <c r="A21" s="25">
        <v>2</v>
      </c>
      <c r="B21" s="25" t="s">
        <v>3</v>
      </c>
      <c r="C21" s="242"/>
      <c r="D21" s="241"/>
      <c r="E21" s="241"/>
      <c r="F21" s="241"/>
      <c r="G21" s="241"/>
      <c r="H21" s="241"/>
      <c r="I21" s="241"/>
      <c r="J21" s="241"/>
      <c r="K21" s="241"/>
    </row>
    <row r="22" spans="3:11" s="183" customFormat="1" ht="12.75">
      <c r="C22" s="244"/>
      <c r="D22" s="241"/>
      <c r="E22" s="241"/>
      <c r="F22" s="241"/>
      <c r="G22" s="241"/>
      <c r="H22" s="241"/>
      <c r="I22" s="241"/>
      <c r="J22" s="241"/>
      <c r="K22" s="241"/>
    </row>
    <row r="23" s="183" customFormat="1" ht="12"/>
    <row r="24" spans="1:2" s="183" customFormat="1" ht="13.5">
      <c r="A24" s="129">
        <v>1</v>
      </c>
      <c r="B24" s="25" t="s">
        <v>220</v>
      </c>
    </row>
    <row r="25" spans="1:2" s="183" customFormat="1" ht="13.5">
      <c r="A25" s="183">
        <v>1</v>
      </c>
      <c r="B25" s="25" t="s">
        <v>104</v>
      </c>
    </row>
    <row r="26" spans="1:2" s="183" customFormat="1" ht="13.5">
      <c r="A26" s="183">
        <v>2</v>
      </c>
      <c r="B26" s="25" t="s">
        <v>98</v>
      </c>
    </row>
    <row r="27" spans="1:2" s="183" customFormat="1" ht="13.5">
      <c r="A27" s="183">
        <v>3</v>
      </c>
      <c r="B27" s="25" t="s">
        <v>99</v>
      </c>
    </row>
    <row r="28" spans="1:2" s="183" customFormat="1" ht="13.5">
      <c r="A28" s="183">
        <v>4</v>
      </c>
      <c r="B28" s="25" t="s">
        <v>100</v>
      </c>
    </row>
    <row r="29" spans="1:2" s="183" customFormat="1" ht="13.5">
      <c r="A29" s="183">
        <v>5</v>
      </c>
      <c r="B29" s="25" t="s">
        <v>101</v>
      </c>
    </row>
    <row r="30" spans="1:2" s="219" customFormat="1" ht="13.5">
      <c r="A30" s="183">
        <v>6</v>
      </c>
      <c r="B30" s="25" t="s">
        <v>102</v>
      </c>
    </row>
    <row r="33" spans="1:13" ht="15" customHeight="1">
      <c r="A33" s="254"/>
      <c r="B33" s="250"/>
      <c r="C33" s="253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5" customHeight="1">
      <c r="A34" s="254"/>
      <c r="B34" s="250"/>
      <c r="C34" s="253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2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S160"/>
  <sheetViews>
    <sheetView zoomScale="80" zoomScaleNormal="80" zoomScalePageLayoutView="0" workbookViewId="0" topLeftCell="A115">
      <selection activeCell="C157" sqref="C157"/>
    </sheetView>
  </sheetViews>
  <sheetFormatPr defaultColWidth="17.7109375" defaultRowHeight="12.75"/>
  <cols>
    <col min="1" max="1" width="10.00390625" style="239" customWidth="1"/>
    <col min="2" max="2" width="10.28125" style="239" customWidth="1"/>
    <col min="3" max="3" width="61.28125" style="239" customWidth="1"/>
    <col min="4" max="16384" width="17.7109375" style="239" customWidth="1"/>
  </cols>
  <sheetData>
    <row r="1" ht="12.75">
      <c r="A1" s="240" t="s">
        <v>510</v>
      </c>
    </row>
    <row r="2" ht="12.75">
      <c r="A2" s="240"/>
    </row>
    <row r="3" ht="12.75">
      <c r="A3" s="240"/>
    </row>
    <row r="4" ht="12.75">
      <c r="A4" s="240" t="s">
        <v>179</v>
      </c>
    </row>
    <row r="5" ht="12.75">
      <c r="A5" s="240" t="s">
        <v>181</v>
      </c>
    </row>
    <row r="6" spans="1:2" ht="12.75">
      <c r="A6" s="240" t="s">
        <v>452</v>
      </c>
      <c r="B6" s="239" t="s">
        <v>180</v>
      </c>
    </row>
    <row r="7" spans="2:7" ht="12.75">
      <c r="B7" s="239" t="s">
        <v>182</v>
      </c>
      <c r="D7" s="239" t="s">
        <v>162</v>
      </c>
      <c r="E7" s="239" t="s">
        <v>163</v>
      </c>
      <c r="F7" s="239" t="s">
        <v>162</v>
      </c>
      <c r="G7" s="239" t="s">
        <v>163</v>
      </c>
    </row>
    <row r="8" spans="2:7" ht="12.75">
      <c r="B8" s="239" t="s">
        <v>4</v>
      </c>
      <c r="D8" s="239" t="s">
        <v>2</v>
      </c>
      <c r="E8" s="239" t="s">
        <v>2</v>
      </c>
      <c r="F8" s="239" t="s">
        <v>3</v>
      </c>
      <c r="G8" s="239" t="s">
        <v>3</v>
      </c>
    </row>
    <row r="9" spans="1:7" ht="12.75">
      <c r="A9" s="239" t="s">
        <v>183</v>
      </c>
      <c r="B9" s="239">
        <v>40301101</v>
      </c>
      <c r="C9" s="239" t="s">
        <v>364</v>
      </c>
      <c r="D9" s="248">
        <f>VLOOKUP($B9,Taul1!$A$12:$F$391,3,FALSE)</f>
        <v>4000.89</v>
      </c>
      <c r="E9" s="248">
        <f>VLOOKUP($B9,Taul1!$A$12:$F$391,4,FALSE)</f>
        <v>4296.81</v>
      </c>
      <c r="F9" s="248">
        <f>VLOOKUP($B9,Taul1!$A$12:$F$391,5,FALSE)</f>
        <v>3962.63</v>
      </c>
      <c r="G9" s="248">
        <f>VLOOKUP($B9,Taul1!$A$12:$F$391,6,FALSE)</f>
        <v>4255.66</v>
      </c>
    </row>
    <row r="10" spans="1:7" ht="12.75">
      <c r="A10" s="239" t="s">
        <v>183</v>
      </c>
      <c r="B10" s="239">
        <v>40301201</v>
      </c>
      <c r="C10" s="239" t="s">
        <v>365</v>
      </c>
      <c r="D10" s="248">
        <f>VLOOKUP($B10,Taul1!$A$12:$F$391,3,FALSE)</f>
        <v>4132.86</v>
      </c>
      <c r="E10" s="248">
        <f>VLOOKUP($B10,Taul1!$A$12:$F$391,4,FALSE)</f>
        <v>4469.88</v>
      </c>
      <c r="F10" s="248">
        <f>VLOOKUP($B10,Taul1!$A$12:$F$391,5,FALSE)</f>
        <v>4093.31</v>
      </c>
      <c r="G10" s="248">
        <f>VLOOKUP($B10,Taul1!$A$12:$F$391,6,FALSE)</f>
        <v>4427.11</v>
      </c>
    </row>
    <row r="11" spans="1:7" ht="12.75">
      <c r="A11" s="239" t="s">
        <v>183</v>
      </c>
      <c r="B11" s="239">
        <v>40301301</v>
      </c>
      <c r="C11" s="239" t="s">
        <v>366</v>
      </c>
      <c r="D11" s="248">
        <f>VLOOKUP($B11,Taul1!$A$12:$F$391,3,FALSE)</f>
        <v>4296.81</v>
      </c>
      <c r="E11" s="248">
        <f>VLOOKUP($B11,Taul1!$A$12:$F$391,4,FALSE)</f>
        <v>4664.23</v>
      </c>
      <c r="F11" s="248">
        <f>VLOOKUP($B11,Taul1!$A$12:$F$391,5,FALSE)</f>
        <v>4255.66</v>
      </c>
      <c r="G11" s="248">
        <f>VLOOKUP($B11,Taul1!$A$12:$F$391,6,FALSE)</f>
        <v>4619.64</v>
      </c>
    </row>
    <row r="12" spans="1:7" ht="12.75">
      <c r="A12" s="239" t="s">
        <v>183</v>
      </c>
      <c r="B12" s="239">
        <v>40301401</v>
      </c>
      <c r="C12" s="239" t="s">
        <v>367</v>
      </c>
      <c r="D12" s="248">
        <f>VLOOKUP($B12,Taul1!$A$12:$F$391,3,FALSE)</f>
        <v>4479.44</v>
      </c>
      <c r="E12" s="248">
        <f>VLOOKUP($B12,Taul1!$A$12:$F$391,4,FALSE)</f>
        <v>0</v>
      </c>
      <c r="F12" s="248">
        <f>VLOOKUP($B12,Taul1!$A$12:$F$391,5,FALSE)</f>
        <v>4436.55</v>
      </c>
      <c r="G12" s="248">
        <f>VLOOKUP($B12,Taul1!$A$12:$F$391,6,FALSE)</f>
        <v>0</v>
      </c>
    </row>
    <row r="13" spans="1:7" ht="12.75">
      <c r="A13" s="239" t="s">
        <v>183</v>
      </c>
      <c r="B13" s="239">
        <v>40301102</v>
      </c>
      <c r="C13" s="239" t="s">
        <v>368</v>
      </c>
      <c r="D13" s="248">
        <f>VLOOKUP($B13,Taul1!$A$12:$F$391,3,FALSE)</f>
        <v>4132.86</v>
      </c>
      <c r="E13" s="248">
        <f>VLOOKUP($B13,Taul1!$A$12:$F$391,4,FALSE)</f>
        <v>4469.88</v>
      </c>
      <c r="F13" s="248">
        <f>VLOOKUP($B13,Taul1!$A$12:$F$391,5,FALSE)</f>
        <v>4093.31</v>
      </c>
      <c r="G13" s="248">
        <f>VLOOKUP($B13,Taul1!$A$12:$F$391,6,FALSE)</f>
        <v>4427.11</v>
      </c>
    </row>
    <row r="14" spans="1:7" ht="12.75">
      <c r="A14" s="239" t="s">
        <v>183</v>
      </c>
      <c r="B14" s="239">
        <v>40301202</v>
      </c>
      <c r="C14" s="239" t="s">
        <v>369</v>
      </c>
      <c r="D14" s="248">
        <f>VLOOKUP($B14,Taul1!$A$12:$F$391,3,FALSE)</f>
        <v>4469.88</v>
      </c>
      <c r="E14" s="248">
        <f>VLOOKUP($B14,Taul1!$A$12:$F$391,4,FALSE)</f>
        <v>4862.63</v>
      </c>
      <c r="F14" s="248">
        <f>VLOOKUP($B14,Taul1!$A$12:$F$391,5,FALSE)</f>
        <v>4427.11</v>
      </c>
      <c r="G14" s="248">
        <f>VLOOKUP($B14,Taul1!$A$12:$F$391,6,FALSE)</f>
        <v>4816.08</v>
      </c>
    </row>
    <row r="15" spans="1:7" ht="12.75">
      <c r="A15" s="239" t="s">
        <v>183</v>
      </c>
      <c r="B15" s="239">
        <v>40301302</v>
      </c>
      <c r="C15" s="239" t="s">
        <v>370</v>
      </c>
      <c r="D15" s="248">
        <f>VLOOKUP($B15,Taul1!$A$12:$F$391,3,FALSE)</f>
        <v>4664.23</v>
      </c>
      <c r="E15" s="248">
        <f>VLOOKUP($B15,Taul1!$A$12:$F$391,4,FALSE)</f>
        <v>5064.64</v>
      </c>
      <c r="F15" s="248">
        <f>VLOOKUP($B15,Taul1!$A$12:$F$391,5,FALSE)</f>
        <v>4619.64</v>
      </c>
      <c r="G15" s="248">
        <f>VLOOKUP($B15,Taul1!$A$12:$F$391,6,FALSE)</f>
        <v>5016.19</v>
      </c>
    </row>
    <row r="16" spans="1:7" ht="12.75">
      <c r="A16" s="239" t="s">
        <v>183</v>
      </c>
      <c r="B16" s="239">
        <v>40301402</v>
      </c>
      <c r="C16" s="239" t="s">
        <v>371</v>
      </c>
      <c r="D16" s="248">
        <f>VLOOKUP($B16,Taul1!$A$12:$F$391,3,FALSE)</f>
        <v>4862.63</v>
      </c>
      <c r="E16" s="248">
        <f>VLOOKUP($B16,Taul1!$A$12:$F$391,4,FALSE)</f>
        <v>0</v>
      </c>
      <c r="F16" s="248">
        <f>VLOOKUP($B16,Taul1!$A$12:$F$391,5,FALSE)</f>
        <v>4816.08</v>
      </c>
      <c r="G16" s="248">
        <f>VLOOKUP($B16,Taul1!$A$12:$F$391,6,FALSE)</f>
        <v>0</v>
      </c>
    </row>
    <row r="17" spans="1:7" ht="12.75">
      <c r="A17" s="239" t="s">
        <v>183</v>
      </c>
      <c r="B17" s="239">
        <v>40301502</v>
      </c>
      <c r="C17" s="239" t="s">
        <v>372</v>
      </c>
      <c r="D17" s="248">
        <f>VLOOKUP($B17,Taul1!$A$12:$F$391,3,FALSE)</f>
        <v>5069.31</v>
      </c>
      <c r="E17" s="248">
        <f>VLOOKUP($B17,Taul1!$A$12:$F$391,4,FALSE)</f>
        <v>0</v>
      </c>
      <c r="F17" s="248">
        <f>VLOOKUP($B17,Taul1!$A$12:$F$391,5,FALSE)</f>
        <v>5020.79</v>
      </c>
      <c r="G17" s="248">
        <f>VLOOKUP($B17,Taul1!$A$12:$F$391,6,FALSE)</f>
        <v>0</v>
      </c>
    </row>
    <row r="18" spans="1:7" ht="12.75">
      <c r="A18" s="239" t="s">
        <v>183</v>
      </c>
      <c r="B18" s="239">
        <v>40301602</v>
      </c>
      <c r="C18" s="239" t="s">
        <v>470</v>
      </c>
      <c r="D18" s="248">
        <f>VLOOKUP($B18,Taul1!$A$12:$F$391,3,FALSE)</f>
        <v>5313.45</v>
      </c>
      <c r="E18" s="248">
        <f>VLOOKUP($B18,Taul1!$A$12:$F$391,4,FALSE)</f>
        <v>0</v>
      </c>
      <c r="F18" s="248">
        <f>VLOOKUP($B18,Taul1!$A$12:$F$391,5,FALSE)</f>
        <v>5262.59</v>
      </c>
      <c r="G18" s="248">
        <f>VLOOKUP($B18,Taul1!$A$12:$F$391,6,FALSE)</f>
        <v>0</v>
      </c>
    </row>
    <row r="19" spans="1:7" ht="12.75">
      <c r="A19" s="239" t="s">
        <v>183</v>
      </c>
      <c r="B19" s="239">
        <v>40301103</v>
      </c>
      <c r="C19" s="239" t="s">
        <v>373</v>
      </c>
      <c r="D19" s="248">
        <f>VLOOKUP($B19,Taul1!$A$12:$F$391,3,FALSE)</f>
        <v>4132.86</v>
      </c>
      <c r="E19" s="248">
        <f>VLOOKUP($B19,Taul1!$A$12:$F$391,4,FALSE)</f>
        <v>4469.88</v>
      </c>
      <c r="F19" s="248">
        <f>VLOOKUP($B19,Taul1!$A$12:$F$391,5,FALSE)</f>
        <v>4093.31</v>
      </c>
      <c r="G19" s="248">
        <f>VLOOKUP($B19,Taul1!$A$12:$F$391,6,FALSE)</f>
        <v>4427.11</v>
      </c>
    </row>
    <row r="20" spans="1:7" ht="12.75">
      <c r="A20" s="239" t="s">
        <v>183</v>
      </c>
      <c r="B20" s="239">
        <v>40301203</v>
      </c>
      <c r="C20" s="239" t="s">
        <v>374</v>
      </c>
      <c r="D20" s="248">
        <f>VLOOKUP($B20,Taul1!$A$12:$F$391,3,FALSE)</f>
        <v>4296.81</v>
      </c>
      <c r="E20" s="248">
        <f>VLOOKUP($B20,Taul1!$A$12:$F$391,4,FALSE)</f>
        <v>4664.23</v>
      </c>
      <c r="F20" s="248">
        <f>VLOOKUP($B20,Taul1!$A$12:$F$391,5,FALSE)</f>
        <v>4255.66</v>
      </c>
      <c r="G20" s="248">
        <f>VLOOKUP($B20,Taul1!$A$12:$F$391,6,FALSE)</f>
        <v>4619.64</v>
      </c>
    </row>
    <row r="21" spans="1:7" ht="12.75">
      <c r="A21" s="239" t="s">
        <v>183</v>
      </c>
      <c r="B21" s="239">
        <v>40301303</v>
      </c>
      <c r="C21" s="239" t="s">
        <v>375</v>
      </c>
      <c r="D21" s="248">
        <f>VLOOKUP($B21,Taul1!$A$12:$F$391,3,FALSE)</f>
        <v>4664.23</v>
      </c>
      <c r="E21" s="248">
        <f>VLOOKUP($B21,Taul1!$A$12:$F$391,4,FALSE)</f>
        <v>5064.64</v>
      </c>
      <c r="F21" s="248">
        <f>VLOOKUP($B21,Taul1!$A$12:$F$391,5,FALSE)</f>
        <v>4619.64</v>
      </c>
      <c r="G21" s="248">
        <f>VLOOKUP($B21,Taul1!$A$12:$F$391,6,FALSE)</f>
        <v>5016.19</v>
      </c>
    </row>
    <row r="22" spans="1:7" ht="12.75">
      <c r="A22" s="239" t="s">
        <v>183</v>
      </c>
      <c r="B22" s="239">
        <v>40301403</v>
      </c>
      <c r="C22" s="239" t="s">
        <v>376</v>
      </c>
      <c r="D22" s="248">
        <f>VLOOKUP($B22,Taul1!$A$12:$F$391,3,FALSE)</f>
        <v>4862.63</v>
      </c>
      <c r="E22" s="248">
        <f>VLOOKUP($B22,Taul1!$A$12:$F$391,4,FALSE)</f>
        <v>5298.36</v>
      </c>
      <c r="F22" s="248">
        <f>VLOOKUP($B22,Taul1!$A$12:$F$391,5,FALSE)</f>
        <v>4816.08</v>
      </c>
      <c r="G22" s="248">
        <f>VLOOKUP($B22,Taul1!$A$12:$F$391,6,FALSE)</f>
        <v>5247.67</v>
      </c>
    </row>
    <row r="23" spans="1:7" ht="12.75">
      <c r="A23" s="239" t="s">
        <v>183</v>
      </c>
      <c r="B23" s="239">
        <v>40302000</v>
      </c>
      <c r="C23" s="239" t="s">
        <v>224</v>
      </c>
      <c r="D23" s="248">
        <f>VLOOKUP($B23,Taul1!$A$12:$F$391,3,FALSE)</f>
        <v>0</v>
      </c>
      <c r="E23" s="248">
        <f>VLOOKUP($B23,Taul1!$A$12:$F$391,4,FALSE)</f>
        <v>0</v>
      </c>
      <c r="F23" s="248">
        <f>VLOOKUP($B23,Taul1!$A$12:$F$391,5,FALSE)</f>
        <v>0</v>
      </c>
      <c r="G23" s="248">
        <f>VLOOKUP($B23,Taul1!$A$12:$F$391,6,FALSE)</f>
        <v>0</v>
      </c>
    </row>
    <row r="24" spans="1:7" ht="12.75">
      <c r="A24" s="239" t="s">
        <v>183</v>
      </c>
      <c r="B24" s="239">
        <v>40402000</v>
      </c>
      <c r="C24" s="239" t="s">
        <v>225</v>
      </c>
      <c r="D24" s="248">
        <f>VLOOKUP($B24,Taul1!$A$12:$F$391,3,FALSE)</f>
        <v>0</v>
      </c>
      <c r="E24" s="248">
        <f>VLOOKUP($B24,Taul1!$A$12:$F$391,4,FALSE)</f>
        <v>0</v>
      </c>
      <c r="F24" s="248">
        <f>VLOOKUP($B24,Taul1!$A$12:$F$391,5,FALSE)</f>
        <v>0</v>
      </c>
      <c r="G24" s="248">
        <f>VLOOKUP($B24,Taul1!$A$12:$F$391,6,FALSE)</f>
        <v>0</v>
      </c>
    </row>
    <row r="25" spans="1:7" ht="12.75">
      <c r="A25" s="239" t="s">
        <v>183</v>
      </c>
      <c r="B25" s="239">
        <v>40401005</v>
      </c>
      <c r="C25" s="239" t="s">
        <v>226</v>
      </c>
      <c r="D25" s="248">
        <f>VLOOKUP($B25,Taul1!$A$12:$F$391,3,FALSE)</f>
        <v>4727.83</v>
      </c>
      <c r="E25" s="248">
        <f>VLOOKUP($B25,Taul1!$A$12:$F$391,4,FALSE)</f>
        <v>5896.61</v>
      </c>
      <c r="F25" s="248">
        <f>VLOOKUP($B25,Taul1!$A$12:$F$391,5,FALSE)</f>
        <v>4682.59</v>
      </c>
      <c r="G25" s="248">
        <f>VLOOKUP($B25,Taul1!$A$12:$F$391,6,FALSE)</f>
        <v>5840.18</v>
      </c>
    </row>
    <row r="26" spans="1:7" ht="12.75">
      <c r="A26" s="239" t="s">
        <v>183</v>
      </c>
      <c r="B26" s="239">
        <v>40401011</v>
      </c>
      <c r="C26" s="239" t="s">
        <v>227</v>
      </c>
      <c r="D26" s="248">
        <f>VLOOKUP($B26,Taul1!$A$12:$F$391,3,FALSE)</f>
        <v>4727.83</v>
      </c>
      <c r="E26" s="248">
        <f>VLOOKUP($B26,Taul1!$A$12:$F$391,4,FALSE)</f>
        <v>5896.61</v>
      </c>
      <c r="F26" s="248">
        <f>VLOOKUP($B26,Taul1!$A$12:$F$391,5,FALSE)</f>
        <v>4682.59</v>
      </c>
      <c r="G26" s="248">
        <f>VLOOKUP($B26,Taul1!$A$12:$F$391,6,FALSE)</f>
        <v>5840.18</v>
      </c>
    </row>
    <row r="27" spans="1:7" ht="12.75">
      <c r="A27" s="239" t="s">
        <v>183</v>
      </c>
      <c r="B27" s="239">
        <v>40304066</v>
      </c>
      <c r="C27" s="239" t="s">
        <v>228</v>
      </c>
      <c r="D27" s="248">
        <f>VLOOKUP($B27,Taul1!$A$12:$F$391,3,FALSE)</f>
        <v>3258.35</v>
      </c>
      <c r="E27" s="248">
        <f>VLOOKUP($B27,Taul1!$A$12:$F$391,4,FALSE)</f>
        <v>0</v>
      </c>
      <c r="F27" s="248">
        <f>VLOOKUP($B27,Taul1!$A$12:$F$391,5,FALSE)</f>
        <v>3227.32</v>
      </c>
      <c r="G27" s="248">
        <f>VLOOKUP($B27,Taul1!$A$12:$F$391,6,FALSE)</f>
        <v>0</v>
      </c>
    </row>
    <row r="28" spans="1:7" ht="12.75">
      <c r="A28" s="239" t="s">
        <v>183</v>
      </c>
      <c r="B28" s="239">
        <v>40304067</v>
      </c>
      <c r="C28" s="239" t="s">
        <v>377</v>
      </c>
      <c r="D28" s="248">
        <f>VLOOKUP($B28,Taul1!$A$12:$F$391,3,FALSE)</f>
        <v>0</v>
      </c>
      <c r="E28" s="248">
        <f>VLOOKUP($B28,Taul1!$A$12:$F$391,4,FALSE)</f>
        <v>0</v>
      </c>
      <c r="F28" s="248">
        <f>VLOOKUP($B28,Taul1!$A$12:$F$391,5,FALSE)</f>
        <v>0</v>
      </c>
      <c r="G28" s="248">
        <f>VLOOKUP($B28,Taul1!$A$12:$F$391,6,FALSE)</f>
        <v>0</v>
      </c>
    </row>
    <row r="29" spans="1:7" ht="12.75">
      <c r="A29" s="239" t="s">
        <v>183</v>
      </c>
      <c r="B29" s="239">
        <v>40404066</v>
      </c>
      <c r="C29" s="239" t="s">
        <v>347</v>
      </c>
      <c r="D29" s="248">
        <f>VLOOKUP($B29,Taul1!$A$12:$F$391,3,FALSE)</f>
        <v>4082.71</v>
      </c>
      <c r="E29" s="248">
        <f>VLOOKUP($B29,Taul1!$A$12:$F$391,4,FALSE)</f>
        <v>0</v>
      </c>
      <c r="F29" s="248">
        <f>VLOOKUP($B29,Taul1!$A$12:$F$391,5,FALSE)</f>
        <v>4048.77</v>
      </c>
      <c r="G29" s="248">
        <f>VLOOKUP($B29,Taul1!$A$12:$F$391,6,FALSE)</f>
        <v>0</v>
      </c>
    </row>
    <row r="30" spans="1:7" ht="12.75">
      <c r="A30" s="239" t="s">
        <v>183</v>
      </c>
      <c r="B30" s="239">
        <v>40404067</v>
      </c>
      <c r="C30" s="239" t="s">
        <v>348</v>
      </c>
      <c r="D30" s="248">
        <f>VLOOKUP($B30,Taul1!$A$12:$F$391,3,FALSE)</f>
        <v>0</v>
      </c>
      <c r="E30" s="248">
        <f>VLOOKUP($B30,Taul1!$A$12:$F$391,4,FALSE)</f>
        <v>0</v>
      </c>
      <c r="F30" s="248">
        <f>VLOOKUP($B30,Taul1!$A$12:$F$391,5,FALSE)</f>
        <v>0</v>
      </c>
      <c r="G30" s="248">
        <f>VLOOKUP($B30,Taul1!$A$12:$F$391,6,FALSE)</f>
        <v>0</v>
      </c>
    </row>
    <row r="31" spans="1:7" ht="12.75">
      <c r="A31" s="239" t="s">
        <v>183</v>
      </c>
      <c r="B31" s="239">
        <v>40407066</v>
      </c>
      <c r="C31" s="239" t="s">
        <v>471</v>
      </c>
      <c r="D31" s="248">
        <f>VLOOKUP($B31,Taul1!$A$12:$F$391,3,FALSE)</f>
        <v>4082.71</v>
      </c>
      <c r="E31" s="248">
        <f>VLOOKUP($B31,Taul1!$A$12:$F$391,4,FALSE)</f>
        <v>0</v>
      </c>
      <c r="F31" s="248">
        <f>VLOOKUP($B31,Taul1!$A$12:$F$391,5,FALSE)</f>
        <v>4048.77</v>
      </c>
      <c r="G31" s="248">
        <f>VLOOKUP($B31,Taul1!$A$12:$F$391,6,FALSE)</f>
        <v>0</v>
      </c>
    </row>
    <row r="32" spans="1:7" ht="12.75">
      <c r="A32" s="239" t="s">
        <v>183</v>
      </c>
      <c r="B32" s="239">
        <v>40407067</v>
      </c>
      <c r="C32" s="239" t="s">
        <v>472</v>
      </c>
      <c r="D32" s="248">
        <f>VLOOKUP($B32,Taul1!$A$12:$F$391,3,FALSE)</f>
        <v>0</v>
      </c>
      <c r="E32" s="248">
        <f>VLOOKUP($B32,Taul1!$A$12:$F$391,4,FALSE)</f>
        <v>0</v>
      </c>
      <c r="F32" s="248">
        <f>VLOOKUP($B32,Taul1!$A$12:$F$391,5,FALSE)</f>
        <v>0</v>
      </c>
      <c r="G32" s="248">
        <f>VLOOKUP($B32,Taul1!$A$12:$F$391,6,FALSE)</f>
        <v>0</v>
      </c>
    </row>
    <row r="33" spans="1:7" ht="12.75">
      <c r="A33" s="239" t="s">
        <v>183</v>
      </c>
      <c r="B33" s="239">
        <v>40404076</v>
      </c>
      <c r="C33" s="239" t="s">
        <v>455</v>
      </c>
      <c r="D33" s="248">
        <f>VLOOKUP($B33,Taul1!$A$12:$F$391,3,FALSE)</f>
        <v>4082.71</v>
      </c>
      <c r="E33" s="248">
        <f>VLOOKUP($B33,Taul1!$A$12:$F$391,4,FALSE)</f>
        <v>0</v>
      </c>
      <c r="F33" s="248">
        <f>VLOOKUP($B33,Taul1!$A$12:$F$391,5,FALSE)</f>
        <v>4048.77</v>
      </c>
      <c r="G33" s="248">
        <f>VLOOKUP($B33,Taul1!$A$12:$F$391,6,FALSE)</f>
        <v>0</v>
      </c>
    </row>
    <row r="34" spans="1:7" ht="12.75">
      <c r="A34" s="239" t="s">
        <v>183</v>
      </c>
      <c r="B34" s="239">
        <v>40404077</v>
      </c>
      <c r="C34" s="239" t="s">
        <v>456</v>
      </c>
      <c r="D34" s="248">
        <f>VLOOKUP($B34,Taul1!$A$12:$F$391,3,FALSE)</f>
        <v>0</v>
      </c>
      <c r="E34" s="248">
        <f>VLOOKUP($B34,Taul1!$A$12:$F$391,4,FALSE)</f>
        <v>0</v>
      </c>
      <c r="F34" s="248">
        <f>VLOOKUP($B34,Taul1!$A$12:$F$391,5,FALSE)</f>
        <v>0</v>
      </c>
      <c r="G34" s="248">
        <f>VLOOKUP($B34,Taul1!$A$12:$F$391,6,FALSE)</f>
        <v>0</v>
      </c>
    </row>
    <row r="35" spans="1:7" ht="12.75">
      <c r="A35" s="239" t="s">
        <v>183</v>
      </c>
      <c r="B35" s="239">
        <v>40407076</v>
      </c>
      <c r="C35" s="239" t="s">
        <v>473</v>
      </c>
      <c r="D35" s="248">
        <f>VLOOKUP($B35,Taul1!$A$12:$F$391,3,FALSE)</f>
        <v>4082.71</v>
      </c>
      <c r="E35" s="248">
        <f>VLOOKUP($B35,Taul1!$A$12:$F$391,4,FALSE)</f>
        <v>0</v>
      </c>
      <c r="F35" s="248">
        <f>VLOOKUP($B35,Taul1!$A$12:$F$391,5,FALSE)</f>
        <v>4048.77</v>
      </c>
      <c r="G35" s="248">
        <f>VLOOKUP($B35,Taul1!$A$12:$F$391,6,FALSE)</f>
        <v>0</v>
      </c>
    </row>
    <row r="36" spans="1:7" ht="12.75">
      <c r="A36" s="239" t="s">
        <v>183</v>
      </c>
      <c r="B36" s="239">
        <v>40407077</v>
      </c>
      <c r="C36" s="239" t="s">
        <v>474</v>
      </c>
      <c r="D36" s="248">
        <f>VLOOKUP($B36,Taul1!$A$12:$F$391,3,FALSE)</f>
        <v>0</v>
      </c>
      <c r="E36" s="248">
        <f>VLOOKUP($B36,Taul1!$A$12:$F$391,4,FALSE)</f>
        <v>0</v>
      </c>
      <c r="F36" s="248">
        <f>VLOOKUP($B36,Taul1!$A$12:$F$391,5,FALSE)</f>
        <v>0</v>
      </c>
      <c r="G36" s="248">
        <f>VLOOKUP($B36,Taul1!$A$12:$F$391,6,FALSE)</f>
        <v>0</v>
      </c>
    </row>
    <row r="37" spans="1:7" ht="12.75">
      <c r="A37" s="239" t="s">
        <v>184</v>
      </c>
      <c r="B37" s="239">
        <v>40304005</v>
      </c>
      <c r="C37" s="239" t="s">
        <v>378</v>
      </c>
      <c r="D37" s="248">
        <f>VLOOKUP($B37,Taul1!$A$12:$F$391,3,FALSE)</f>
        <v>3101.59</v>
      </c>
      <c r="E37" s="248">
        <f>VLOOKUP($B37,Taul1!$A$12:$F$391,4,FALSE)</f>
        <v>0</v>
      </c>
      <c r="F37" s="248">
        <f>VLOOKUP($B37,Taul1!$A$12:$F$391,5,FALSE)</f>
        <v>3072.25</v>
      </c>
      <c r="G37" s="248">
        <f>VLOOKUP($B37,Taul1!$A$12:$F$391,6,FALSE)</f>
        <v>0</v>
      </c>
    </row>
    <row r="38" spans="1:7" ht="12.75">
      <c r="A38" s="239" t="s">
        <v>184</v>
      </c>
      <c r="B38" s="239">
        <v>40304007</v>
      </c>
      <c r="C38" s="239" t="s">
        <v>379</v>
      </c>
      <c r="D38" s="248">
        <f>VLOOKUP($B38,Taul1!$A$12:$F$391,3,FALSE)</f>
        <v>2891.53</v>
      </c>
      <c r="E38" s="248">
        <f>VLOOKUP($B38,Taul1!$A$12:$F$391,4,FALSE)</f>
        <v>0</v>
      </c>
      <c r="F38" s="248">
        <f>VLOOKUP($B38,Taul1!$A$12:$F$391,5,FALSE)</f>
        <v>2864.2</v>
      </c>
      <c r="G38" s="248">
        <f>VLOOKUP($B38,Taul1!$A$12:$F$391,6,FALSE)</f>
        <v>0</v>
      </c>
    </row>
    <row r="39" spans="1:7" ht="12.75">
      <c r="A39" s="239" t="s">
        <v>184</v>
      </c>
      <c r="B39" s="239">
        <v>40304008</v>
      </c>
      <c r="C39" s="239" t="s">
        <v>380</v>
      </c>
      <c r="D39" s="248">
        <f>VLOOKUP($B39,Taul1!$A$12:$F$391,3,FALSE)</f>
        <v>2534.52</v>
      </c>
      <c r="E39" s="248">
        <f>VLOOKUP($B39,Taul1!$A$12:$F$391,4,FALSE)</f>
        <v>0</v>
      </c>
      <c r="F39" s="248">
        <f>VLOOKUP($B39,Taul1!$A$12:$F$391,5,FALSE)</f>
        <v>2510.55</v>
      </c>
      <c r="G39" s="248">
        <f>VLOOKUP($B39,Taul1!$A$12:$F$391,6,FALSE)</f>
        <v>0</v>
      </c>
    </row>
    <row r="40" spans="1:7" ht="12.75">
      <c r="A40" s="239" t="s">
        <v>184</v>
      </c>
      <c r="B40" s="239">
        <v>40304009</v>
      </c>
      <c r="C40" s="239" t="s">
        <v>381</v>
      </c>
      <c r="D40" s="248">
        <f>VLOOKUP($B40,Taul1!$A$12:$F$391,3,FALSE)</f>
        <v>2426.02</v>
      </c>
      <c r="E40" s="248">
        <f>VLOOKUP($B40,Taul1!$A$12:$F$391,4,FALSE)</f>
        <v>0</v>
      </c>
      <c r="F40" s="248">
        <f>VLOOKUP($B40,Taul1!$A$12:$F$391,5,FALSE)</f>
        <v>2403.08</v>
      </c>
      <c r="G40" s="248">
        <f>VLOOKUP($B40,Taul1!$A$12:$F$391,6,FALSE)</f>
        <v>0</v>
      </c>
    </row>
    <row r="41" spans="1:7" ht="12.75">
      <c r="A41" s="239" t="s">
        <v>184</v>
      </c>
      <c r="B41" s="239">
        <v>40304010</v>
      </c>
      <c r="C41" s="239" t="s">
        <v>382</v>
      </c>
      <c r="D41" s="248">
        <f>VLOOKUP($B41,Taul1!$A$12:$F$391,3,FALSE)</f>
        <v>2295.01</v>
      </c>
      <c r="E41" s="248">
        <f>VLOOKUP($B41,Taul1!$A$12:$F$391,4,FALSE)</f>
        <v>0</v>
      </c>
      <c r="F41" s="248">
        <f>VLOOKUP($B41,Taul1!$A$12:$F$391,5,FALSE)</f>
        <v>2273.76</v>
      </c>
      <c r="G41" s="248">
        <f>VLOOKUP($B41,Taul1!$A$12:$F$391,6,FALSE)</f>
        <v>0</v>
      </c>
    </row>
    <row r="42" spans="1:7" ht="12.75">
      <c r="A42" s="239" t="s">
        <v>184</v>
      </c>
      <c r="B42" s="239">
        <v>40304012</v>
      </c>
      <c r="C42" s="239" t="s">
        <v>383</v>
      </c>
      <c r="D42" s="248">
        <f>VLOOKUP($B42,Taul1!$A$12:$F$391,3,FALSE)</f>
        <v>3123.13</v>
      </c>
      <c r="E42" s="248">
        <f>VLOOKUP($B42,Taul1!$A$12:$F$391,4,FALSE)</f>
        <v>0</v>
      </c>
      <c r="F42" s="248">
        <f>VLOOKUP($B42,Taul1!$A$12:$F$391,5,FALSE)</f>
        <v>3093.59</v>
      </c>
      <c r="G42" s="248">
        <f>VLOOKUP($B42,Taul1!$A$12:$F$391,6,FALSE)</f>
        <v>0</v>
      </c>
    </row>
    <row r="43" spans="1:7" ht="12.75">
      <c r="A43" s="239" t="s">
        <v>184</v>
      </c>
      <c r="B43" s="239">
        <v>40304014</v>
      </c>
      <c r="C43" s="239" t="s">
        <v>384</v>
      </c>
      <c r="D43" s="248">
        <f>VLOOKUP($B43,Taul1!$A$12:$F$391,3,FALSE)</f>
        <v>3013.93</v>
      </c>
      <c r="E43" s="248">
        <f>VLOOKUP($B43,Taul1!$A$12:$F$391,4,FALSE)</f>
        <v>0</v>
      </c>
      <c r="F43" s="248">
        <f>VLOOKUP($B43,Taul1!$A$12:$F$391,5,FALSE)</f>
        <v>2985.41</v>
      </c>
      <c r="G43" s="248">
        <f>VLOOKUP($B43,Taul1!$A$12:$F$391,6,FALSE)</f>
        <v>0</v>
      </c>
    </row>
    <row r="44" spans="1:7" ht="12.75">
      <c r="A44" s="239" t="s">
        <v>184</v>
      </c>
      <c r="B44" s="239">
        <v>40304013</v>
      </c>
      <c r="C44" s="239" t="s">
        <v>385</v>
      </c>
      <c r="D44" s="248">
        <f>VLOOKUP($B44,Taul1!$A$12:$F$391,3,FALSE)</f>
        <v>2917.31</v>
      </c>
      <c r="E44" s="248">
        <f>VLOOKUP($B44,Taul1!$A$12:$F$391,4,FALSE)</f>
        <v>0</v>
      </c>
      <c r="F44" s="248">
        <f>VLOOKUP($B44,Taul1!$A$12:$F$391,5,FALSE)</f>
        <v>2889.69</v>
      </c>
      <c r="G44" s="248">
        <f>VLOOKUP($B44,Taul1!$A$12:$F$391,6,FALSE)</f>
        <v>0</v>
      </c>
    </row>
    <row r="45" spans="1:7" ht="12.75">
      <c r="A45" s="239" t="s">
        <v>184</v>
      </c>
      <c r="B45" s="239">
        <v>40304015</v>
      </c>
      <c r="C45" s="239" t="s">
        <v>386</v>
      </c>
      <c r="D45" s="248">
        <f>VLOOKUP($B45,Taul1!$A$12:$F$391,3,FALSE)</f>
        <v>2871.82</v>
      </c>
      <c r="E45" s="248">
        <f>VLOOKUP($B45,Taul1!$A$12:$F$391,4,FALSE)</f>
        <v>0</v>
      </c>
      <c r="F45" s="248">
        <f>VLOOKUP($B45,Taul1!$A$12:$F$391,5,FALSE)</f>
        <v>2844.68</v>
      </c>
      <c r="G45" s="248">
        <f>VLOOKUP($B45,Taul1!$A$12:$F$391,6,FALSE)</f>
        <v>0</v>
      </c>
    </row>
    <row r="46" spans="1:7" ht="12.75">
      <c r="A46" s="239" t="s">
        <v>184</v>
      </c>
      <c r="B46" s="239">
        <v>40304016</v>
      </c>
      <c r="C46" s="239" t="s">
        <v>387</v>
      </c>
      <c r="D46" s="248">
        <f>VLOOKUP($B46,Taul1!$A$12:$F$391,3,FALSE)</f>
        <v>2752.38</v>
      </c>
      <c r="E46" s="248">
        <f>VLOOKUP($B46,Taul1!$A$12:$F$391,4,FALSE)</f>
        <v>0</v>
      </c>
      <c r="F46" s="248">
        <f>VLOOKUP($B46,Taul1!$A$12:$F$391,5,FALSE)</f>
        <v>2726.4</v>
      </c>
      <c r="G46" s="248">
        <f>VLOOKUP($B46,Taul1!$A$12:$F$391,6,FALSE)</f>
        <v>0</v>
      </c>
    </row>
    <row r="47" spans="1:7" ht="12.75">
      <c r="A47" s="239" t="s">
        <v>184</v>
      </c>
      <c r="B47" s="239">
        <v>40304017</v>
      </c>
      <c r="C47" s="239" t="s">
        <v>388</v>
      </c>
      <c r="D47" s="248">
        <f>VLOOKUP($B47,Taul1!$A$12:$F$391,3,FALSE)</f>
        <v>2405.68</v>
      </c>
      <c r="E47" s="248">
        <f>VLOOKUP($B47,Taul1!$A$12:$F$391,4,FALSE)</f>
        <v>0</v>
      </c>
      <c r="F47" s="248">
        <f>VLOOKUP($B47,Taul1!$A$12:$F$391,5,FALSE)</f>
        <v>2383.18</v>
      </c>
      <c r="G47" s="248">
        <f>VLOOKUP($B47,Taul1!$A$12:$F$391,6,FALSE)</f>
        <v>0</v>
      </c>
    </row>
    <row r="48" spans="1:7" ht="12.75">
      <c r="A48" s="239" t="s">
        <v>184</v>
      </c>
      <c r="B48" s="239">
        <v>40304028</v>
      </c>
      <c r="C48" s="239" t="s">
        <v>389</v>
      </c>
      <c r="D48" s="248">
        <f>VLOOKUP($B48,Taul1!$A$12:$F$391,3,FALSE)</f>
        <v>3101.59</v>
      </c>
      <c r="E48" s="248">
        <f>VLOOKUP($B48,Taul1!$A$12:$F$391,4,FALSE)</f>
        <v>0</v>
      </c>
      <c r="F48" s="248">
        <f>VLOOKUP($B48,Taul1!$A$12:$F$391,5,FALSE)</f>
        <v>3072.25</v>
      </c>
      <c r="G48" s="248">
        <f>VLOOKUP($B48,Taul1!$A$12:$F$391,6,FALSE)</f>
        <v>0</v>
      </c>
    </row>
    <row r="49" spans="1:7" ht="12.75">
      <c r="A49" s="239" t="s">
        <v>184</v>
      </c>
      <c r="B49" s="239">
        <v>40304030</v>
      </c>
      <c r="C49" s="239" t="s">
        <v>390</v>
      </c>
      <c r="D49" s="248">
        <f>VLOOKUP($B49,Taul1!$A$12:$F$391,3,FALSE)</f>
        <v>2887.34</v>
      </c>
      <c r="E49" s="248">
        <f>VLOOKUP($B49,Taul1!$A$12:$F$391,4,FALSE)</f>
        <v>0</v>
      </c>
      <c r="F49" s="248">
        <f>VLOOKUP($B49,Taul1!$A$12:$F$391,5,FALSE)</f>
        <v>2860.05</v>
      </c>
      <c r="G49" s="248">
        <f>VLOOKUP($B49,Taul1!$A$12:$F$391,6,FALSE)</f>
        <v>0</v>
      </c>
    </row>
    <row r="50" spans="1:7" ht="12.75">
      <c r="A50" s="239" t="s">
        <v>184</v>
      </c>
      <c r="B50" s="239">
        <v>40304031</v>
      </c>
      <c r="C50" s="239" t="s">
        <v>391</v>
      </c>
      <c r="D50" s="248">
        <f>VLOOKUP($B50,Taul1!$A$12:$F$391,3,FALSE)</f>
        <v>2779.12</v>
      </c>
      <c r="E50" s="248">
        <f>VLOOKUP($B50,Taul1!$A$12:$F$391,4,FALSE)</f>
        <v>0</v>
      </c>
      <c r="F50" s="248">
        <f>VLOOKUP($B50,Taul1!$A$12:$F$391,5,FALSE)</f>
        <v>2752.82</v>
      </c>
      <c r="G50" s="248">
        <f>VLOOKUP($B50,Taul1!$A$12:$F$391,6,FALSE)</f>
        <v>0</v>
      </c>
    </row>
    <row r="51" spans="1:7" ht="12.75">
      <c r="A51" s="239" t="s">
        <v>184</v>
      </c>
      <c r="B51" s="239">
        <v>40304098</v>
      </c>
      <c r="C51" s="239" t="s">
        <v>492</v>
      </c>
      <c r="D51" s="248">
        <f>VLOOKUP($B51,Taul1!$A$12:$F$391,3,FALSE)</f>
        <v>2269.85</v>
      </c>
      <c r="E51" s="248">
        <f>VLOOKUP($B51,Taul1!$A$12:$F$391,4,FALSE)</f>
        <v>0</v>
      </c>
      <c r="F51" s="248">
        <f>VLOOKUP($B51,Taul1!$A$12:$F$391,5,FALSE)</f>
        <v>2249.01</v>
      </c>
      <c r="G51" s="248">
        <f>VLOOKUP($B51,Taul1!$A$12:$F$391,6,FALSE)</f>
        <v>0</v>
      </c>
    </row>
    <row r="52" spans="1:7" ht="12.75">
      <c r="A52" s="239" t="s">
        <v>184</v>
      </c>
      <c r="B52" s="239">
        <v>40304033</v>
      </c>
      <c r="C52" s="239" t="s">
        <v>392</v>
      </c>
      <c r="D52" s="248">
        <f>VLOOKUP($B52,Taul1!$A$12:$F$391,3,FALSE)</f>
        <v>2166.9</v>
      </c>
      <c r="E52" s="248">
        <f>VLOOKUP($B52,Taul1!$A$12:$F$391,4,FALSE)</f>
        <v>0</v>
      </c>
      <c r="F52" s="248">
        <f>VLOOKUP($B52,Taul1!$A$12:$F$391,5,FALSE)</f>
        <v>2147.84</v>
      </c>
      <c r="G52" s="248">
        <f>VLOOKUP($B52,Taul1!$A$12:$F$391,6,FALSE)</f>
        <v>0</v>
      </c>
    </row>
    <row r="53" spans="1:7" ht="12.75">
      <c r="A53" s="239" t="s">
        <v>184</v>
      </c>
      <c r="B53" s="239">
        <v>40304020</v>
      </c>
      <c r="C53" s="239" t="s">
        <v>393</v>
      </c>
      <c r="D53" s="248">
        <f>VLOOKUP($B53,Taul1!$A$12:$F$391,3,FALSE)</f>
        <v>2491.49</v>
      </c>
      <c r="E53" s="248">
        <f>VLOOKUP($B53,Taul1!$A$12:$F$391,4,FALSE)</f>
        <v>0</v>
      </c>
      <c r="F53" s="248">
        <f>VLOOKUP($B53,Taul1!$A$12:$F$391,5,FALSE)</f>
        <v>2467.91</v>
      </c>
      <c r="G53" s="248">
        <f>VLOOKUP($B53,Taul1!$A$12:$F$391,6,FALSE)</f>
        <v>0</v>
      </c>
    </row>
    <row r="54" spans="1:7" ht="12.75">
      <c r="A54" s="239" t="s">
        <v>184</v>
      </c>
      <c r="B54" s="239">
        <v>40304024</v>
      </c>
      <c r="C54" s="239" t="s">
        <v>493</v>
      </c>
      <c r="D54" s="248">
        <f>VLOOKUP($B54,Taul1!$A$12:$F$391,3,FALSE)</f>
        <v>2491.49</v>
      </c>
      <c r="E54" s="248">
        <f>VLOOKUP($B54,Taul1!$A$12:$F$391,4,FALSE)</f>
        <v>0</v>
      </c>
      <c r="F54" s="248">
        <f>VLOOKUP($B54,Taul1!$A$12:$F$391,5,FALSE)</f>
        <v>2467.91</v>
      </c>
      <c r="G54" s="248">
        <f>VLOOKUP($B54,Taul1!$A$12:$F$391,6,FALSE)</f>
        <v>0</v>
      </c>
    </row>
    <row r="55" spans="1:7" ht="12.75">
      <c r="A55" s="239" t="s">
        <v>184</v>
      </c>
      <c r="B55" s="239">
        <v>40304021</v>
      </c>
      <c r="C55" s="239" t="s">
        <v>394</v>
      </c>
      <c r="D55" s="248">
        <f>VLOOKUP($B55,Taul1!$A$12:$F$391,3,FALSE)</f>
        <v>2439.66</v>
      </c>
      <c r="E55" s="248">
        <f>VLOOKUP($B55,Taul1!$A$12:$F$391,4,FALSE)</f>
        <v>0</v>
      </c>
      <c r="F55" s="248">
        <f>VLOOKUP($B55,Taul1!$A$12:$F$391,5,FALSE)</f>
        <v>2416.54</v>
      </c>
      <c r="G55" s="248">
        <f>VLOOKUP($B55,Taul1!$A$12:$F$391,6,FALSE)</f>
        <v>0</v>
      </c>
    </row>
    <row r="56" spans="1:7" ht="12.75">
      <c r="A56" s="239" t="s">
        <v>184</v>
      </c>
      <c r="B56" s="239">
        <v>40304022</v>
      </c>
      <c r="C56" s="239" t="s">
        <v>185</v>
      </c>
      <c r="D56" s="248">
        <f>VLOOKUP($B56,Taul1!$A$12:$F$391,3,FALSE)</f>
        <v>2102.82</v>
      </c>
      <c r="E56" s="248">
        <f>VLOOKUP($B56,Taul1!$A$12:$F$391,4,FALSE)</f>
        <v>0</v>
      </c>
      <c r="F56" s="248">
        <f>VLOOKUP($B56,Taul1!$A$12:$F$391,5,FALSE)</f>
        <v>2085.58</v>
      </c>
      <c r="G56" s="248">
        <f>VLOOKUP($B56,Taul1!$A$12:$F$391,6,FALSE)</f>
        <v>0</v>
      </c>
    </row>
    <row r="57" spans="1:7" ht="12.75">
      <c r="A57" s="239" t="s">
        <v>184</v>
      </c>
      <c r="B57" s="239">
        <v>40307038</v>
      </c>
      <c r="C57" s="239" t="s">
        <v>395</v>
      </c>
      <c r="D57" s="248">
        <f>VLOOKUP($B57,Taul1!$A$12:$F$391,3,FALSE)</f>
        <v>3101.59</v>
      </c>
      <c r="E57" s="248">
        <f>VLOOKUP($B57,Taul1!$A$12:$F$391,4,FALSE)</f>
        <v>0</v>
      </c>
      <c r="F57" s="248">
        <f>VLOOKUP($B57,Taul1!$A$12:$F$391,5,FALSE)</f>
        <v>3072.25</v>
      </c>
      <c r="G57" s="248">
        <f>VLOOKUP($B57,Taul1!$A$12:$F$391,6,FALSE)</f>
        <v>0</v>
      </c>
    </row>
    <row r="58" spans="1:7" ht="12.75">
      <c r="A58" s="239" t="s">
        <v>184</v>
      </c>
      <c r="B58" s="239">
        <v>40307040</v>
      </c>
      <c r="C58" s="239" t="s">
        <v>396</v>
      </c>
      <c r="D58" s="248">
        <f>VLOOKUP($B58,Taul1!$A$12:$F$391,3,FALSE)</f>
        <v>2891.53</v>
      </c>
      <c r="E58" s="248">
        <f>VLOOKUP($B58,Taul1!$A$12:$F$391,4,FALSE)</f>
        <v>0</v>
      </c>
      <c r="F58" s="248">
        <f>VLOOKUP($B58,Taul1!$A$12:$F$391,5,FALSE)</f>
        <v>2864.2</v>
      </c>
      <c r="G58" s="248">
        <f>VLOOKUP($B58,Taul1!$A$12:$F$391,6,FALSE)</f>
        <v>0</v>
      </c>
    </row>
    <row r="59" spans="1:7" ht="12.75">
      <c r="A59" s="239" t="s">
        <v>184</v>
      </c>
      <c r="B59" s="239">
        <v>40307041</v>
      </c>
      <c r="C59" s="239" t="s">
        <v>397</v>
      </c>
      <c r="D59" s="248">
        <f>VLOOKUP($B59,Taul1!$A$12:$F$391,3,FALSE)</f>
        <v>2534.52</v>
      </c>
      <c r="E59" s="248">
        <f>VLOOKUP($B59,Taul1!$A$12:$F$391,4,FALSE)</f>
        <v>0</v>
      </c>
      <c r="F59" s="248">
        <f>VLOOKUP($B59,Taul1!$A$12:$F$391,5,FALSE)</f>
        <v>2510.55</v>
      </c>
      <c r="G59" s="248">
        <f>VLOOKUP($B59,Taul1!$A$12:$F$391,6,FALSE)</f>
        <v>0</v>
      </c>
    </row>
    <row r="60" spans="1:7" ht="12.75">
      <c r="A60" s="239" t="s">
        <v>184</v>
      </c>
      <c r="B60" s="239">
        <v>40307042</v>
      </c>
      <c r="C60" s="239" t="s">
        <v>398</v>
      </c>
      <c r="D60" s="248">
        <f>VLOOKUP($B60,Taul1!$A$12:$F$391,3,FALSE)</f>
        <v>2426.02</v>
      </c>
      <c r="E60" s="248">
        <f>VLOOKUP($B60,Taul1!$A$12:$F$391,4,FALSE)</f>
        <v>0</v>
      </c>
      <c r="F60" s="248">
        <f>VLOOKUP($B60,Taul1!$A$12:$F$391,5,FALSE)</f>
        <v>2403.08</v>
      </c>
      <c r="G60" s="248">
        <f>VLOOKUP($B60,Taul1!$A$12:$F$391,6,FALSE)</f>
        <v>0</v>
      </c>
    </row>
    <row r="61" spans="1:7" ht="12.75">
      <c r="A61" s="239" t="s">
        <v>184</v>
      </c>
      <c r="B61" s="239">
        <v>40307043</v>
      </c>
      <c r="C61" s="239" t="s">
        <v>399</v>
      </c>
      <c r="D61" s="248">
        <f>VLOOKUP($B61,Taul1!$A$12:$F$391,3,FALSE)</f>
        <v>2295.01</v>
      </c>
      <c r="E61" s="248">
        <f>VLOOKUP($B61,Taul1!$A$12:$F$391,4,FALSE)</f>
        <v>0</v>
      </c>
      <c r="F61" s="248">
        <f>VLOOKUP($B61,Taul1!$A$12:$F$391,5,FALSE)</f>
        <v>2273.76</v>
      </c>
      <c r="G61" s="248">
        <f>VLOOKUP($B61,Taul1!$A$12:$F$391,6,FALSE)</f>
        <v>0</v>
      </c>
    </row>
    <row r="62" spans="1:7" ht="12.75">
      <c r="A62" s="239" t="s">
        <v>184</v>
      </c>
      <c r="B62" s="239">
        <v>40307044</v>
      </c>
      <c r="C62" s="239" t="s">
        <v>400</v>
      </c>
      <c r="D62" s="248">
        <f>VLOOKUP($B62,Taul1!$A$12:$F$391,3,FALSE)</f>
        <v>3123.13</v>
      </c>
      <c r="E62" s="248">
        <f>VLOOKUP($B62,Taul1!$A$12:$F$391,4,FALSE)</f>
        <v>0</v>
      </c>
      <c r="F62" s="248">
        <f>VLOOKUP($B62,Taul1!$A$12:$F$391,5,FALSE)</f>
        <v>3093.59</v>
      </c>
      <c r="G62" s="248">
        <f>VLOOKUP($B62,Taul1!$A$12:$F$391,6,FALSE)</f>
        <v>0</v>
      </c>
    </row>
    <row r="63" spans="1:7" ht="12.75">
      <c r="A63" s="239" t="s">
        <v>184</v>
      </c>
      <c r="B63" s="239">
        <v>40307046</v>
      </c>
      <c r="C63" s="239" t="s">
        <v>401</v>
      </c>
      <c r="D63" s="248">
        <f>VLOOKUP($B63,Taul1!$A$12:$F$391,3,FALSE)</f>
        <v>3013.93</v>
      </c>
      <c r="E63" s="248">
        <f>VLOOKUP($B63,Taul1!$A$12:$F$391,4,FALSE)</f>
        <v>0</v>
      </c>
      <c r="F63" s="248">
        <f>VLOOKUP($B63,Taul1!$A$12:$F$391,5,FALSE)</f>
        <v>2985.41</v>
      </c>
      <c r="G63" s="248">
        <f>VLOOKUP($B63,Taul1!$A$12:$F$391,6,FALSE)</f>
        <v>0</v>
      </c>
    </row>
    <row r="64" spans="1:7" ht="12.75">
      <c r="A64" s="239" t="s">
        <v>184</v>
      </c>
      <c r="B64" s="239">
        <v>40307045</v>
      </c>
      <c r="C64" s="239" t="s">
        <v>402</v>
      </c>
      <c r="D64" s="248">
        <f>VLOOKUP($B64,Taul1!$A$12:$F$391,3,FALSE)</f>
        <v>2917.31</v>
      </c>
      <c r="E64" s="248">
        <f>VLOOKUP($B64,Taul1!$A$12:$F$391,4,FALSE)</f>
        <v>0</v>
      </c>
      <c r="F64" s="248">
        <f>VLOOKUP($B64,Taul1!$A$12:$F$391,5,FALSE)</f>
        <v>2889.69</v>
      </c>
      <c r="G64" s="248">
        <f>VLOOKUP($B64,Taul1!$A$12:$F$391,6,FALSE)</f>
        <v>0</v>
      </c>
    </row>
    <row r="65" spans="1:7" ht="12.75">
      <c r="A65" s="239" t="s">
        <v>184</v>
      </c>
      <c r="B65" s="239">
        <v>40307047</v>
      </c>
      <c r="C65" s="239" t="s">
        <v>403</v>
      </c>
      <c r="D65" s="248">
        <f>VLOOKUP($B65,Taul1!$A$12:$F$391,3,FALSE)</f>
        <v>2871.82</v>
      </c>
      <c r="E65" s="248">
        <f>VLOOKUP($B65,Taul1!$A$12:$F$391,4,FALSE)</f>
        <v>0</v>
      </c>
      <c r="F65" s="248">
        <f>VLOOKUP($B65,Taul1!$A$12:$F$391,5,FALSE)</f>
        <v>2844.68</v>
      </c>
      <c r="G65" s="248">
        <f>VLOOKUP($B65,Taul1!$A$12:$F$391,6,FALSE)</f>
        <v>0</v>
      </c>
    </row>
    <row r="66" spans="1:7" ht="12.75">
      <c r="A66" s="239" t="s">
        <v>184</v>
      </c>
      <c r="B66" s="239">
        <v>40307048</v>
      </c>
      <c r="C66" s="239" t="s">
        <v>404</v>
      </c>
      <c r="D66" s="248">
        <f>VLOOKUP($B66,Taul1!$A$12:$F$391,3,FALSE)</f>
        <v>2752.38</v>
      </c>
      <c r="E66" s="248">
        <f>VLOOKUP($B66,Taul1!$A$12:$F$391,4,FALSE)</f>
        <v>0</v>
      </c>
      <c r="F66" s="248">
        <f>VLOOKUP($B66,Taul1!$A$12:$F$391,5,FALSE)</f>
        <v>2726.4</v>
      </c>
      <c r="G66" s="248">
        <f>VLOOKUP($B66,Taul1!$A$12:$F$391,6,FALSE)</f>
        <v>0</v>
      </c>
    </row>
    <row r="67" spans="1:7" ht="12.75">
      <c r="A67" s="239" t="s">
        <v>184</v>
      </c>
      <c r="B67" s="239">
        <v>40307049</v>
      </c>
      <c r="C67" s="239" t="s">
        <v>405</v>
      </c>
      <c r="D67" s="248">
        <f>VLOOKUP($B67,Taul1!$A$12:$F$391,3,FALSE)</f>
        <v>2405.68</v>
      </c>
      <c r="E67" s="248">
        <f>VLOOKUP($B67,Taul1!$A$12:$F$391,4,FALSE)</f>
        <v>0</v>
      </c>
      <c r="F67" s="248">
        <f>VLOOKUP($B67,Taul1!$A$12:$F$391,5,FALSE)</f>
        <v>2383.18</v>
      </c>
      <c r="G67" s="248">
        <f>VLOOKUP($B67,Taul1!$A$12:$F$391,6,FALSE)</f>
        <v>0</v>
      </c>
    </row>
    <row r="68" spans="1:7" ht="12.75">
      <c r="A68" s="239" t="s">
        <v>184</v>
      </c>
      <c r="B68" s="239">
        <v>40307054</v>
      </c>
      <c r="C68" s="239" t="s">
        <v>406</v>
      </c>
      <c r="D68" s="248">
        <f>VLOOKUP($B68,Taul1!$A$12:$F$391,3,FALSE)</f>
        <v>3101.59</v>
      </c>
      <c r="E68" s="248">
        <f>VLOOKUP($B68,Taul1!$A$12:$F$391,4,FALSE)</f>
        <v>0</v>
      </c>
      <c r="F68" s="248">
        <f>VLOOKUP($B68,Taul1!$A$12:$F$391,5,FALSE)</f>
        <v>3072.25</v>
      </c>
      <c r="G68" s="248">
        <f>VLOOKUP($B68,Taul1!$A$12:$F$391,6,FALSE)</f>
        <v>0</v>
      </c>
    </row>
    <row r="69" spans="1:7" ht="12.75">
      <c r="A69" s="239" t="s">
        <v>184</v>
      </c>
      <c r="B69" s="239">
        <v>40307056</v>
      </c>
      <c r="C69" s="239" t="s">
        <v>407</v>
      </c>
      <c r="D69" s="248">
        <f>VLOOKUP($B69,Taul1!$A$12:$F$391,3,FALSE)</f>
        <v>2887.34</v>
      </c>
      <c r="E69" s="248">
        <f>VLOOKUP($B69,Taul1!$A$12:$F$391,4,FALSE)</f>
        <v>0</v>
      </c>
      <c r="F69" s="248">
        <f>VLOOKUP($B69,Taul1!$A$12:$F$391,5,FALSE)</f>
        <v>2860.05</v>
      </c>
      <c r="G69" s="248">
        <f>VLOOKUP($B69,Taul1!$A$12:$F$391,6,FALSE)</f>
        <v>0</v>
      </c>
    </row>
    <row r="70" spans="1:7" ht="12.75">
      <c r="A70" s="239" t="s">
        <v>184</v>
      </c>
      <c r="B70" s="239">
        <v>40307057</v>
      </c>
      <c r="C70" s="239" t="s">
        <v>408</v>
      </c>
      <c r="D70" s="248">
        <f>VLOOKUP($B70,Taul1!$A$12:$F$391,3,FALSE)</f>
        <v>2779.12</v>
      </c>
      <c r="E70" s="248">
        <f>VLOOKUP($B70,Taul1!$A$12:$F$391,4,FALSE)</f>
        <v>0</v>
      </c>
      <c r="F70" s="248">
        <f>VLOOKUP($B70,Taul1!$A$12:$F$391,5,FALSE)</f>
        <v>2752.82</v>
      </c>
      <c r="G70" s="248">
        <f>VLOOKUP($B70,Taul1!$A$12:$F$391,6,FALSE)</f>
        <v>0</v>
      </c>
    </row>
    <row r="71" spans="1:7" ht="12.75">
      <c r="A71" s="239" t="s">
        <v>184</v>
      </c>
      <c r="B71" s="239">
        <v>40307099</v>
      </c>
      <c r="C71" s="239" t="s">
        <v>494</v>
      </c>
      <c r="D71" s="248">
        <f>VLOOKUP($B71,Taul1!$A$12:$F$391,3,FALSE)</f>
        <v>2269.85</v>
      </c>
      <c r="E71" s="248">
        <f>VLOOKUP($B71,Taul1!$A$12:$F$391,4,FALSE)</f>
        <v>0</v>
      </c>
      <c r="F71" s="248">
        <f>VLOOKUP($B71,Taul1!$A$12:$F$391,5,FALSE)</f>
        <v>2249.01</v>
      </c>
      <c r="G71" s="248">
        <f>VLOOKUP($B71,Taul1!$A$12:$F$391,6,FALSE)</f>
        <v>0</v>
      </c>
    </row>
    <row r="72" spans="1:7" ht="12.75">
      <c r="A72" s="239" t="s">
        <v>184</v>
      </c>
      <c r="B72" s="239">
        <v>40307059</v>
      </c>
      <c r="C72" s="239" t="s">
        <v>409</v>
      </c>
      <c r="D72" s="248">
        <f>VLOOKUP($B72,Taul1!$A$12:$F$391,3,FALSE)</f>
        <v>2166.9</v>
      </c>
      <c r="E72" s="248">
        <f>VLOOKUP($B72,Taul1!$A$12:$F$391,4,FALSE)</f>
        <v>0</v>
      </c>
      <c r="F72" s="248">
        <f>VLOOKUP($B72,Taul1!$A$12:$F$391,5,FALSE)</f>
        <v>2147.84</v>
      </c>
      <c r="G72" s="248">
        <f>VLOOKUP($B72,Taul1!$A$12:$F$391,6,FALSE)</f>
        <v>0</v>
      </c>
    </row>
    <row r="73" spans="1:7" ht="12.75">
      <c r="A73" s="239" t="s">
        <v>184</v>
      </c>
      <c r="B73" s="239">
        <v>40307062</v>
      </c>
      <c r="C73" s="239" t="s">
        <v>410</v>
      </c>
      <c r="D73" s="248">
        <f>VLOOKUP($B73,Taul1!$A$12:$F$391,3,FALSE)</f>
        <v>2491.49</v>
      </c>
      <c r="E73" s="248">
        <f>VLOOKUP($B73,Taul1!$A$12:$F$391,4,FALSE)</f>
        <v>0</v>
      </c>
      <c r="F73" s="248">
        <f>VLOOKUP($B73,Taul1!$A$12:$F$391,5,FALSE)</f>
        <v>2467.91</v>
      </c>
      <c r="G73" s="248">
        <f>VLOOKUP($B73,Taul1!$A$12:$F$391,6,FALSE)</f>
        <v>0</v>
      </c>
    </row>
    <row r="74" spans="1:7" ht="12.75">
      <c r="A74" s="239" t="s">
        <v>184</v>
      </c>
      <c r="B74" s="239">
        <v>40307065</v>
      </c>
      <c r="C74" s="239" t="s">
        <v>495</v>
      </c>
      <c r="D74" s="248">
        <f>VLOOKUP($B74,Taul1!$A$12:$F$391,3,FALSE)</f>
        <v>2491.49</v>
      </c>
      <c r="E74" s="248">
        <f>VLOOKUP($B74,Taul1!$A$12:$F$391,4,FALSE)</f>
        <v>0</v>
      </c>
      <c r="F74" s="248">
        <f>VLOOKUP($B74,Taul1!$A$12:$F$391,5,FALSE)</f>
        <v>2467.91</v>
      </c>
      <c r="G74" s="248">
        <f>VLOOKUP($B74,Taul1!$A$12:$F$391,6,FALSE)</f>
        <v>0</v>
      </c>
    </row>
    <row r="75" spans="1:7" ht="12.75">
      <c r="A75" s="239" t="s">
        <v>184</v>
      </c>
      <c r="B75" s="239">
        <v>40307063</v>
      </c>
      <c r="C75" s="239" t="s">
        <v>411</v>
      </c>
      <c r="D75" s="248">
        <f>VLOOKUP($B75,Taul1!$A$12:$F$391,3,FALSE)</f>
        <v>2439.66</v>
      </c>
      <c r="E75" s="248">
        <f>VLOOKUP($B75,Taul1!$A$12:$F$391,4,FALSE)</f>
        <v>0</v>
      </c>
      <c r="F75" s="248">
        <f>VLOOKUP($B75,Taul1!$A$12:$F$391,5,FALSE)</f>
        <v>2416.54</v>
      </c>
      <c r="G75" s="248">
        <f>VLOOKUP($B75,Taul1!$A$12:$F$391,6,FALSE)</f>
        <v>0</v>
      </c>
    </row>
    <row r="76" spans="1:7" ht="12.75">
      <c r="A76" s="239" t="s">
        <v>184</v>
      </c>
      <c r="B76" s="239">
        <v>40307064</v>
      </c>
      <c r="C76" s="239" t="s">
        <v>186</v>
      </c>
      <c r="D76" s="248">
        <f>VLOOKUP($B76,Taul1!$A$12:$F$391,3,FALSE)</f>
        <v>2102.82</v>
      </c>
      <c r="E76" s="248">
        <f>VLOOKUP($B76,Taul1!$A$12:$F$391,4,FALSE)</f>
        <v>0</v>
      </c>
      <c r="F76" s="248">
        <f>VLOOKUP($B76,Taul1!$A$12:$F$391,5,FALSE)</f>
        <v>2085.58</v>
      </c>
      <c r="G76" s="248">
        <f>VLOOKUP($B76,Taul1!$A$12:$F$391,6,FALSE)</f>
        <v>0</v>
      </c>
    </row>
    <row r="77" spans="1:7" ht="12.75">
      <c r="A77" s="239" t="s">
        <v>187</v>
      </c>
      <c r="B77" s="239">
        <v>40404017</v>
      </c>
      <c r="C77" s="239" t="s">
        <v>412</v>
      </c>
      <c r="D77" s="248">
        <f>VLOOKUP($B77,Taul1!$A$12:$F$391,3,FALSE)</f>
        <v>3256.61</v>
      </c>
      <c r="E77" s="248">
        <f>VLOOKUP($B77,Taul1!$A$12:$F$391,4,FALSE)</f>
        <v>0</v>
      </c>
      <c r="F77" s="248">
        <f>VLOOKUP($B77,Taul1!$A$12:$F$391,5,FALSE)</f>
        <v>3225.85</v>
      </c>
      <c r="G77" s="248">
        <f>VLOOKUP($B77,Taul1!$A$12:$F$391,6,FALSE)</f>
        <v>0</v>
      </c>
    </row>
    <row r="78" spans="1:7" ht="12.75">
      <c r="A78" s="239" t="s">
        <v>187</v>
      </c>
      <c r="B78" s="239">
        <v>40404018</v>
      </c>
      <c r="C78" s="239" t="s">
        <v>413</v>
      </c>
      <c r="D78" s="248">
        <f>VLOOKUP($B78,Taul1!$A$12:$F$391,3,FALSE)</f>
        <v>3108.02</v>
      </c>
      <c r="E78" s="248">
        <f>VLOOKUP($B78,Taul1!$A$12:$F$391,4,FALSE)</f>
        <v>0</v>
      </c>
      <c r="F78" s="248">
        <f>VLOOKUP($B78,Taul1!$A$12:$F$391,5,FALSE)</f>
        <v>3078.58</v>
      </c>
      <c r="G78" s="248">
        <f>VLOOKUP($B78,Taul1!$A$12:$F$391,6,FALSE)</f>
        <v>0</v>
      </c>
    </row>
    <row r="79" spans="1:7" ht="12.75">
      <c r="A79" s="239" t="s">
        <v>187</v>
      </c>
      <c r="B79" s="239">
        <v>40404022</v>
      </c>
      <c r="C79" s="239" t="s">
        <v>381</v>
      </c>
      <c r="D79" s="248">
        <f>VLOOKUP($B79,Taul1!$A$12:$F$391,3,FALSE)</f>
        <v>2623.02</v>
      </c>
      <c r="E79" s="248">
        <f>VLOOKUP($B79,Taul1!$A$12:$F$391,4,FALSE)</f>
        <v>0</v>
      </c>
      <c r="F79" s="248">
        <f>VLOOKUP($B79,Taul1!$A$12:$F$391,5,FALSE)</f>
        <v>2598.25</v>
      </c>
      <c r="G79" s="248">
        <f>VLOOKUP($B79,Taul1!$A$12:$F$391,6,FALSE)</f>
        <v>0</v>
      </c>
    </row>
    <row r="80" spans="1:7" ht="12.75">
      <c r="A80" s="239" t="s">
        <v>187</v>
      </c>
      <c r="B80" s="239">
        <v>40404023</v>
      </c>
      <c r="C80" s="239" t="s">
        <v>414</v>
      </c>
      <c r="D80" s="248">
        <f>VLOOKUP($B80,Taul1!$A$12:$F$391,3,FALSE)</f>
        <v>2324.01</v>
      </c>
      <c r="E80" s="248">
        <f>VLOOKUP($B80,Taul1!$A$12:$F$391,4,FALSE)</f>
        <v>0</v>
      </c>
      <c r="F80" s="248">
        <f>VLOOKUP($B80,Taul1!$A$12:$F$391,5,FALSE)</f>
        <v>2302.51</v>
      </c>
      <c r="G80" s="248">
        <f>VLOOKUP($B80,Taul1!$A$12:$F$391,6,FALSE)</f>
        <v>0</v>
      </c>
    </row>
    <row r="81" spans="1:7" ht="12.75">
      <c r="A81" s="239" t="s">
        <v>187</v>
      </c>
      <c r="B81" s="239">
        <v>40407037</v>
      </c>
      <c r="C81" s="239" t="s">
        <v>415</v>
      </c>
      <c r="D81" s="248">
        <f>VLOOKUP($B81,Taul1!$A$12:$F$391,3,FALSE)</f>
        <v>3256.61</v>
      </c>
      <c r="E81" s="248">
        <f>VLOOKUP($B81,Taul1!$A$12:$F$391,4,FALSE)</f>
        <v>0</v>
      </c>
      <c r="F81" s="248">
        <f>VLOOKUP($B81,Taul1!$A$12:$F$391,5,FALSE)</f>
        <v>3225.85</v>
      </c>
      <c r="G81" s="248">
        <f>VLOOKUP($B81,Taul1!$A$12:$F$391,6,FALSE)</f>
        <v>0</v>
      </c>
    </row>
    <row r="82" spans="1:7" ht="12.75">
      <c r="A82" s="239" t="s">
        <v>187</v>
      </c>
      <c r="B82" s="239">
        <v>40407039</v>
      </c>
      <c r="C82" s="239" t="s">
        <v>416</v>
      </c>
      <c r="D82" s="248">
        <f>VLOOKUP($B82,Taul1!$A$12:$F$391,3,FALSE)</f>
        <v>2822.08</v>
      </c>
      <c r="E82" s="248">
        <f>VLOOKUP($B82,Taul1!$A$12:$F$391,4,FALSE)</f>
        <v>0</v>
      </c>
      <c r="F82" s="248">
        <f>VLOOKUP($B82,Taul1!$A$12:$F$391,5,FALSE)</f>
        <v>2795.39</v>
      </c>
      <c r="G82" s="248">
        <f>VLOOKUP($B82,Taul1!$A$12:$F$391,6,FALSE)</f>
        <v>0</v>
      </c>
    </row>
    <row r="83" spans="1:7" ht="12.75">
      <c r="A83" s="239" t="s">
        <v>187</v>
      </c>
      <c r="B83" s="239">
        <v>40407042</v>
      </c>
      <c r="C83" s="239" t="s">
        <v>417</v>
      </c>
      <c r="D83" s="248">
        <f>VLOOKUP($B83,Taul1!$A$12:$F$391,3,FALSE)</f>
        <v>2507.03</v>
      </c>
      <c r="E83" s="248">
        <f>VLOOKUP($B83,Taul1!$A$12:$F$391,4,FALSE)</f>
        <v>0</v>
      </c>
      <c r="F83" s="248">
        <f>VLOOKUP($B83,Taul1!$A$12:$F$391,5,FALSE)</f>
        <v>2483.31</v>
      </c>
      <c r="G83" s="248">
        <f>VLOOKUP($B83,Taul1!$A$12:$F$391,6,FALSE)</f>
        <v>0</v>
      </c>
    </row>
    <row r="84" spans="1:7" ht="12.75">
      <c r="A84" s="239" t="s">
        <v>187</v>
      </c>
      <c r="B84" s="239">
        <v>40407041</v>
      </c>
      <c r="C84" s="239" t="s">
        <v>418</v>
      </c>
      <c r="D84" s="248">
        <f>VLOOKUP($B84,Taul1!$A$12:$F$391,3,FALSE)</f>
        <v>2324.01</v>
      </c>
      <c r="E84" s="248">
        <f>VLOOKUP($B84,Taul1!$A$12:$F$391,4,FALSE)</f>
        <v>0</v>
      </c>
      <c r="F84" s="248">
        <f>VLOOKUP($B84,Taul1!$A$12:$F$391,5,FALSE)</f>
        <v>2302.51</v>
      </c>
      <c r="G84" s="248">
        <f>VLOOKUP($B84,Taul1!$A$12:$F$391,6,FALSE)</f>
        <v>0</v>
      </c>
    </row>
    <row r="85" spans="1:7" ht="12.75">
      <c r="A85" s="239" t="s">
        <v>188</v>
      </c>
      <c r="B85" s="239">
        <v>40404024</v>
      </c>
      <c r="C85" s="239" t="s">
        <v>419</v>
      </c>
      <c r="D85" s="248">
        <f>VLOOKUP($B85,Taul1!$A$12:$F$391,3,FALSE)</f>
        <v>3256.61</v>
      </c>
      <c r="E85" s="248">
        <f>VLOOKUP($B85,Taul1!$A$12:$F$391,4,FALSE)</f>
        <v>0</v>
      </c>
      <c r="F85" s="248">
        <f>VLOOKUP($B85,Taul1!$A$12:$F$391,5,FALSE)</f>
        <v>3225.85</v>
      </c>
      <c r="G85" s="248">
        <f>VLOOKUP($B85,Taul1!$A$12:$F$391,6,FALSE)</f>
        <v>0</v>
      </c>
    </row>
    <row r="86" spans="1:7" ht="12.75">
      <c r="A86" s="239" t="s">
        <v>188</v>
      </c>
      <c r="B86" s="239">
        <v>40404025</v>
      </c>
      <c r="C86" s="239" t="s">
        <v>420</v>
      </c>
      <c r="D86" s="248">
        <f>VLOOKUP($B86,Taul1!$A$12:$F$391,3,FALSE)</f>
        <v>3104.99</v>
      </c>
      <c r="E86" s="248">
        <f>VLOOKUP($B86,Taul1!$A$12:$F$391,4,FALSE)</f>
        <v>0</v>
      </c>
      <c r="F86" s="248">
        <f>VLOOKUP($B86,Taul1!$A$12:$F$391,5,FALSE)</f>
        <v>3075.59</v>
      </c>
      <c r="G86" s="248">
        <f>VLOOKUP($B86,Taul1!$A$12:$F$391,6,FALSE)</f>
        <v>0</v>
      </c>
    </row>
    <row r="87" spans="1:7" ht="12.75">
      <c r="A87" s="239" t="s">
        <v>188</v>
      </c>
      <c r="B87" s="239">
        <v>40404027</v>
      </c>
      <c r="C87" s="239" t="s">
        <v>189</v>
      </c>
      <c r="D87" s="248">
        <f>VLOOKUP($B87,Taul1!$A$12:$F$391,3,FALSE)</f>
        <v>2625.63</v>
      </c>
      <c r="E87" s="248">
        <f>VLOOKUP($B87,Taul1!$A$12:$F$391,4,FALSE)</f>
        <v>0</v>
      </c>
      <c r="F87" s="248">
        <f>VLOOKUP($B87,Taul1!$A$12:$F$391,5,FALSE)</f>
        <v>2600.84</v>
      </c>
      <c r="G87" s="248">
        <f>VLOOKUP($B87,Taul1!$A$12:$F$391,6,FALSE)</f>
        <v>0</v>
      </c>
    </row>
    <row r="88" spans="1:7" ht="12.75">
      <c r="A88" s="239" t="s">
        <v>188</v>
      </c>
      <c r="B88" s="239">
        <v>40404026</v>
      </c>
      <c r="C88" s="239" t="s">
        <v>421</v>
      </c>
      <c r="D88" s="248">
        <f>VLOOKUP($B88,Taul1!$A$12:$F$391,3,FALSE)</f>
        <v>2325.15</v>
      </c>
      <c r="E88" s="248">
        <f>VLOOKUP($B88,Taul1!$A$12:$F$391,4,FALSE)</f>
        <v>0</v>
      </c>
      <c r="F88" s="248">
        <f>VLOOKUP($B88,Taul1!$A$12:$F$391,5,FALSE)</f>
        <v>2303.63</v>
      </c>
      <c r="G88" s="248">
        <f>VLOOKUP($B88,Taul1!$A$12:$F$391,6,FALSE)</f>
        <v>0</v>
      </c>
    </row>
    <row r="89" spans="1:7" ht="12.75">
      <c r="A89" s="239" t="s">
        <v>188</v>
      </c>
      <c r="B89" s="239">
        <v>40407050</v>
      </c>
      <c r="C89" s="239" t="s">
        <v>415</v>
      </c>
      <c r="D89" s="248">
        <f>VLOOKUP($B89,Taul1!$A$12:$F$391,3,FALSE)</f>
        <v>3256.61</v>
      </c>
      <c r="E89" s="248">
        <f>VLOOKUP($B89,Taul1!$A$12:$F$391,4,FALSE)</f>
        <v>0</v>
      </c>
      <c r="F89" s="248">
        <f>VLOOKUP($B89,Taul1!$A$12:$F$391,5,FALSE)</f>
        <v>3225.85</v>
      </c>
      <c r="G89" s="248">
        <f>VLOOKUP($B89,Taul1!$A$12:$F$391,6,FALSE)</f>
        <v>0</v>
      </c>
    </row>
    <row r="90" spans="1:7" ht="12.75">
      <c r="A90" s="239" t="s">
        <v>188</v>
      </c>
      <c r="B90" s="239">
        <v>40407051</v>
      </c>
      <c r="C90" s="239" t="s">
        <v>422</v>
      </c>
      <c r="D90" s="248">
        <f>VLOOKUP($B90,Taul1!$A$12:$F$391,3,FALSE)</f>
        <v>2822.08</v>
      </c>
      <c r="E90" s="248">
        <f>VLOOKUP($B90,Taul1!$A$12:$F$391,4,FALSE)</f>
        <v>0</v>
      </c>
      <c r="F90" s="248">
        <f>VLOOKUP($B90,Taul1!$A$12:$F$391,5,FALSE)</f>
        <v>2795.39</v>
      </c>
      <c r="G90" s="248">
        <f>VLOOKUP($B90,Taul1!$A$12:$F$391,6,FALSE)</f>
        <v>0</v>
      </c>
    </row>
    <row r="91" spans="1:7" ht="12.75">
      <c r="A91" s="239" t="s">
        <v>188</v>
      </c>
      <c r="B91" s="239">
        <v>40407053</v>
      </c>
      <c r="C91" s="239" t="s">
        <v>417</v>
      </c>
      <c r="D91" s="248">
        <f>VLOOKUP($B91,Taul1!$A$12:$F$391,3,FALSE)</f>
        <v>2507.03</v>
      </c>
      <c r="E91" s="248">
        <f>VLOOKUP($B91,Taul1!$A$12:$F$391,4,FALSE)</f>
        <v>0</v>
      </c>
      <c r="F91" s="248">
        <f>VLOOKUP($B91,Taul1!$A$12:$F$391,5,FALSE)</f>
        <v>2483.31</v>
      </c>
      <c r="G91" s="248">
        <f>VLOOKUP($B91,Taul1!$A$12:$F$391,6,FALSE)</f>
        <v>0</v>
      </c>
    </row>
    <row r="92" spans="1:7" ht="12.75">
      <c r="A92" s="239" t="s">
        <v>188</v>
      </c>
      <c r="B92" s="239">
        <v>40407054</v>
      </c>
      <c r="C92" s="239" t="s">
        <v>423</v>
      </c>
      <c r="D92" s="248">
        <f>VLOOKUP($B92,Taul1!$A$12:$F$391,3,FALSE)</f>
        <v>2324.01</v>
      </c>
      <c r="E92" s="248">
        <f>VLOOKUP($B92,Taul1!$A$12:$F$391,4,FALSE)</f>
        <v>0</v>
      </c>
      <c r="F92" s="248">
        <f>VLOOKUP($B92,Taul1!$A$12:$F$391,5,FALSE)</f>
        <v>2302.51</v>
      </c>
      <c r="G92" s="248">
        <f>VLOOKUP($B92,Taul1!$A$12:$F$391,6,FALSE)</f>
        <v>0</v>
      </c>
    </row>
    <row r="93" spans="1:7" ht="12.75">
      <c r="A93" s="239" t="s">
        <v>190</v>
      </c>
      <c r="B93" s="239">
        <v>40901024</v>
      </c>
      <c r="C93" s="239" t="s">
        <v>424</v>
      </c>
      <c r="D93" s="248">
        <f>VLOOKUP($B93,Taul1!$A$12:$F$391,3,FALSE)</f>
        <v>4243.08</v>
      </c>
      <c r="E93" s="248">
        <f>VLOOKUP($B93,Taul1!$A$12:$F$391,4,FALSE)</f>
        <v>0</v>
      </c>
      <c r="F93" s="248">
        <f>VLOOKUP($B93,Taul1!$A$12:$F$391,5,FALSE)</f>
        <v>4202.42</v>
      </c>
      <c r="G93" s="248">
        <f>VLOOKUP($B93,Taul1!$A$12:$F$391,6,FALSE)</f>
        <v>0</v>
      </c>
    </row>
    <row r="94" spans="1:7" ht="12.75">
      <c r="A94" s="239" t="s">
        <v>190</v>
      </c>
      <c r="B94" s="239">
        <v>40003001</v>
      </c>
      <c r="C94" s="239" t="s">
        <v>425</v>
      </c>
      <c r="D94" s="248">
        <f>VLOOKUP($B94,Taul1!$A$12:$F$391,3,FALSE)</f>
        <v>4029.31</v>
      </c>
      <c r="E94" s="248">
        <f>VLOOKUP($B94,Taul1!$A$12:$F$391,4,FALSE)</f>
        <v>0</v>
      </c>
      <c r="F94" s="248">
        <f>VLOOKUP($B94,Taul1!$A$12:$F$391,5,FALSE)</f>
        <v>3990.59</v>
      </c>
      <c r="G94" s="248">
        <f>VLOOKUP($B94,Taul1!$A$12:$F$391,6,FALSE)</f>
        <v>0</v>
      </c>
    </row>
    <row r="95" spans="1:7" ht="12.75">
      <c r="A95" s="239" t="s">
        <v>190</v>
      </c>
      <c r="B95" s="239">
        <v>40003002</v>
      </c>
      <c r="C95" s="239" t="s">
        <v>191</v>
      </c>
      <c r="D95" s="248">
        <f>VLOOKUP($B95,Taul1!$A$12:$F$391,3,FALSE)</f>
        <v>3889.88</v>
      </c>
      <c r="E95" s="248">
        <f>VLOOKUP($B95,Taul1!$A$12:$F$391,4,FALSE)</f>
        <v>0</v>
      </c>
      <c r="F95" s="248">
        <f>VLOOKUP($B95,Taul1!$A$12:$F$391,5,FALSE)</f>
        <v>3852.19</v>
      </c>
      <c r="G95" s="248">
        <f>VLOOKUP($B95,Taul1!$A$12:$F$391,6,FALSE)</f>
        <v>0</v>
      </c>
    </row>
    <row r="96" spans="1:7" ht="12.75">
      <c r="A96" s="239" t="s">
        <v>193</v>
      </c>
      <c r="B96" s="239">
        <v>40801002</v>
      </c>
      <c r="C96" s="239" t="s">
        <v>424</v>
      </c>
      <c r="D96" s="248">
        <f>VLOOKUP($B96,Taul1!$A$12:$F$391,3,FALSE)</f>
        <v>3927.93</v>
      </c>
      <c r="E96" s="248">
        <f>VLOOKUP($B96,Taul1!$A$12:$F$391,4,FALSE)</f>
        <v>4945.34</v>
      </c>
      <c r="F96" s="248">
        <f>VLOOKUP($B96,Taul1!$A$12:$F$391,5,FALSE)</f>
        <v>3890.24</v>
      </c>
      <c r="G96" s="248">
        <f>VLOOKUP($B96,Taul1!$A$12:$F$391,6,FALSE)</f>
        <v>4897.84</v>
      </c>
    </row>
    <row r="97" spans="1:7" ht="12.75">
      <c r="A97" s="239" t="s">
        <v>193</v>
      </c>
      <c r="B97" s="239">
        <v>40802005</v>
      </c>
      <c r="C97" s="239" t="s">
        <v>435</v>
      </c>
      <c r="D97" s="248">
        <f>VLOOKUP($B97,Taul1!$A$12:$F$391,3,FALSE)</f>
        <v>3534.68</v>
      </c>
      <c r="E97" s="248">
        <f>VLOOKUP($B97,Taul1!$A$12:$F$391,4,FALSE)</f>
        <v>4369.83</v>
      </c>
      <c r="F97" s="248">
        <f>VLOOKUP($B97,Taul1!$A$12:$F$391,5,FALSE)</f>
        <v>3500.71</v>
      </c>
      <c r="G97" s="248">
        <f>VLOOKUP($B97,Taul1!$A$12:$F$391,6,FALSE)</f>
        <v>4327.88</v>
      </c>
    </row>
    <row r="98" spans="1:7" ht="12.75">
      <c r="A98" s="239" t="s">
        <v>193</v>
      </c>
      <c r="B98" s="239">
        <v>40804012</v>
      </c>
      <c r="C98" s="239" t="s">
        <v>436</v>
      </c>
      <c r="D98" s="248">
        <f>VLOOKUP($B98,Taul1!$A$12:$F$391,3,FALSE)</f>
        <v>2759.85</v>
      </c>
      <c r="E98" s="248">
        <f>VLOOKUP($B98,Taul1!$A$12:$F$391,4,FALSE)</f>
        <v>0</v>
      </c>
      <c r="F98" s="248">
        <f>VLOOKUP($B98,Taul1!$A$12:$F$391,5,FALSE)</f>
        <v>2733.59</v>
      </c>
      <c r="G98" s="248">
        <f>VLOOKUP($B98,Taul1!$A$12:$F$391,6,FALSE)</f>
        <v>0</v>
      </c>
    </row>
    <row r="99" spans="1:7" ht="12.75">
      <c r="A99" s="239" t="s">
        <v>193</v>
      </c>
      <c r="B99" s="239">
        <v>40804014</v>
      </c>
      <c r="C99" s="239" t="s">
        <v>437</v>
      </c>
      <c r="D99" s="248">
        <f>VLOOKUP($B99,Taul1!$A$12:$F$391,3,FALSE)</f>
        <v>2687.63</v>
      </c>
      <c r="E99" s="248">
        <f>VLOOKUP($B99,Taul1!$A$12:$F$391,4,FALSE)</f>
        <v>0</v>
      </c>
      <c r="F99" s="248">
        <f>VLOOKUP($B99,Taul1!$A$12:$F$391,5,FALSE)</f>
        <v>2662.07</v>
      </c>
      <c r="G99" s="248">
        <f>VLOOKUP($B99,Taul1!$A$12:$F$391,6,FALSE)</f>
        <v>0</v>
      </c>
    </row>
    <row r="100" spans="1:7" ht="12.75">
      <c r="A100" s="239" t="s">
        <v>193</v>
      </c>
      <c r="B100" s="239">
        <v>40804013</v>
      </c>
      <c r="C100" s="239" t="s">
        <v>438</v>
      </c>
      <c r="D100" s="248">
        <f>VLOOKUP($B100,Taul1!$A$12:$F$391,3,FALSE)</f>
        <v>2418.33</v>
      </c>
      <c r="E100" s="248">
        <f>VLOOKUP($B100,Taul1!$A$12:$F$391,4,FALSE)</f>
        <v>0</v>
      </c>
      <c r="F100" s="248">
        <f>VLOOKUP($B100,Taul1!$A$12:$F$391,5,FALSE)</f>
        <v>2395.33</v>
      </c>
      <c r="G100" s="248">
        <f>VLOOKUP($B100,Taul1!$A$12:$F$391,6,FALSE)</f>
        <v>0</v>
      </c>
    </row>
    <row r="101" spans="1:7" ht="12.75">
      <c r="A101" s="239" t="s">
        <v>193</v>
      </c>
      <c r="B101" s="239">
        <v>40804008</v>
      </c>
      <c r="C101" s="239" t="s">
        <v>439</v>
      </c>
      <c r="D101" s="248">
        <f>VLOOKUP($B101,Taul1!$A$12:$F$391,3,FALSE)</f>
        <v>2759.85</v>
      </c>
      <c r="E101" s="248">
        <f>VLOOKUP($B101,Taul1!$A$12:$F$391,4,FALSE)</f>
        <v>0</v>
      </c>
      <c r="F101" s="248">
        <f>VLOOKUP($B101,Taul1!$A$12:$F$391,5,FALSE)</f>
        <v>2733.59</v>
      </c>
      <c r="G101" s="248">
        <f>VLOOKUP($B101,Taul1!$A$12:$F$391,6,FALSE)</f>
        <v>0</v>
      </c>
    </row>
    <row r="102" spans="1:7" ht="12.75">
      <c r="A102" s="239" t="s">
        <v>193</v>
      </c>
      <c r="B102" s="239">
        <v>40807026</v>
      </c>
      <c r="C102" s="239" t="s">
        <v>428</v>
      </c>
      <c r="D102" s="248">
        <f>VLOOKUP($B102,Taul1!$A$12:$F$391,3,FALSE)</f>
        <v>2528.35</v>
      </c>
      <c r="E102" s="248">
        <f>VLOOKUP($B102,Taul1!$A$12:$F$391,4,FALSE)</f>
        <v>0</v>
      </c>
      <c r="F102" s="248">
        <f>VLOOKUP($B102,Taul1!$A$12:$F$391,5,FALSE)</f>
        <v>2504.25</v>
      </c>
      <c r="G102" s="248">
        <f>VLOOKUP($B102,Taul1!$A$12:$F$391,6,FALSE)</f>
        <v>0</v>
      </c>
    </row>
    <row r="103" spans="1:7" ht="12.75">
      <c r="A103" s="239" t="s">
        <v>193</v>
      </c>
      <c r="B103" s="239">
        <v>40807028</v>
      </c>
      <c r="C103" s="239" t="s">
        <v>440</v>
      </c>
      <c r="D103" s="248">
        <f>VLOOKUP($B103,Taul1!$A$12:$F$391,3,FALSE)</f>
        <v>2477.98</v>
      </c>
      <c r="E103" s="248">
        <f>VLOOKUP($B103,Taul1!$A$12:$F$391,4,FALSE)</f>
        <v>0</v>
      </c>
      <c r="F103" s="248">
        <f>VLOOKUP($B103,Taul1!$A$12:$F$391,5,FALSE)</f>
        <v>2454.38</v>
      </c>
      <c r="G103" s="248">
        <f>VLOOKUP($B103,Taul1!$A$12:$F$391,6,FALSE)</f>
        <v>0</v>
      </c>
    </row>
    <row r="104" spans="1:7" ht="12.75">
      <c r="A104" s="239" t="s">
        <v>193</v>
      </c>
      <c r="B104" s="239">
        <v>40807027</v>
      </c>
      <c r="C104" s="239" t="s">
        <v>441</v>
      </c>
      <c r="D104" s="248">
        <f>VLOOKUP($B104,Taul1!$A$12:$F$391,3,FALSE)</f>
        <v>2307.5</v>
      </c>
      <c r="E104" s="248">
        <f>VLOOKUP($B104,Taul1!$A$12:$F$391,4,FALSE)</f>
        <v>0</v>
      </c>
      <c r="F104" s="248">
        <f>VLOOKUP($B104,Taul1!$A$12:$F$391,5,FALSE)</f>
        <v>2286.01</v>
      </c>
      <c r="G104" s="248">
        <f>VLOOKUP($B104,Taul1!$A$12:$F$391,6,FALSE)</f>
        <v>0</v>
      </c>
    </row>
    <row r="105" spans="1:7" ht="12.75">
      <c r="A105" s="239" t="s">
        <v>194</v>
      </c>
      <c r="B105" s="239">
        <v>40501001</v>
      </c>
      <c r="C105" s="239" t="s">
        <v>442</v>
      </c>
      <c r="D105" s="248">
        <f>VLOOKUP($B105,Taul1!$A$12:$F$391,3,FALSE)</f>
        <v>3430.36</v>
      </c>
      <c r="E105" s="248">
        <f>VLOOKUP($B105,Taul1!$A$12:$F$391,4,FALSE)</f>
        <v>3999.6</v>
      </c>
      <c r="F105" s="248">
        <f>VLOOKUP($B105,Taul1!$A$12:$F$391,5,FALSE)</f>
        <v>3404.14</v>
      </c>
      <c r="G105" s="248">
        <f>VLOOKUP($B105,Taul1!$A$12:$F$391,6,FALSE)</f>
        <v>3961.27</v>
      </c>
    </row>
    <row r="106" spans="1:7" ht="12.75">
      <c r="A106" s="239" t="s">
        <v>194</v>
      </c>
      <c r="B106" s="239">
        <v>40501002</v>
      </c>
      <c r="C106" s="239" t="s">
        <v>443</v>
      </c>
      <c r="D106" s="248">
        <f>VLOOKUP($B106,Taul1!$A$12:$F$391,3,FALSE)</f>
        <v>3430.36</v>
      </c>
      <c r="E106" s="248">
        <f>VLOOKUP($B106,Taul1!$A$12:$F$391,4,FALSE)</f>
        <v>3999.6</v>
      </c>
      <c r="F106" s="248">
        <f>VLOOKUP($B106,Taul1!$A$12:$F$391,5,FALSE)</f>
        <v>3404.14</v>
      </c>
      <c r="G106" s="248">
        <f>VLOOKUP($B106,Taul1!$A$12:$F$391,6,FALSE)</f>
        <v>3961.27</v>
      </c>
    </row>
    <row r="107" spans="1:7" ht="12.75">
      <c r="A107" s="239" t="s">
        <v>194</v>
      </c>
      <c r="B107" s="239">
        <v>40504004</v>
      </c>
      <c r="C107" s="239" t="s">
        <v>444</v>
      </c>
      <c r="D107" s="248">
        <f>VLOOKUP($B107,Taul1!$A$12:$F$391,3,FALSE)</f>
        <v>2353.03</v>
      </c>
      <c r="E107" s="248">
        <f>VLOOKUP($B107,Taul1!$A$12:$F$391,4,FALSE)</f>
        <v>2668.21</v>
      </c>
      <c r="F107" s="248">
        <f>VLOOKUP($B107,Taul1!$A$12:$F$391,5,FALSE)</f>
        <v>2332.27</v>
      </c>
      <c r="G107" s="248">
        <f>VLOOKUP($B107,Taul1!$A$12:$F$391,6,FALSE)</f>
        <v>2642.7</v>
      </c>
    </row>
    <row r="108" spans="1:7" ht="12.75">
      <c r="A108" s="239" t="s">
        <v>194</v>
      </c>
      <c r="B108" s="239">
        <v>40504005</v>
      </c>
      <c r="C108" s="239" t="s">
        <v>445</v>
      </c>
      <c r="D108" s="248">
        <f>VLOOKUP($B108,Taul1!$A$12:$F$391,3,FALSE)</f>
        <v>2441.75</v>
      </c>
      <c r="E108" s="248">
        <f>VLOOKUP($B108,Taul1!$A$12:$F$391,4,FALSE)</f>
        <v>2816.54</v>
      </c>
      <c r="F108" s="248">
        <f>VLOOKUP($B108,Taul1!$A$12:$F$391,5,FALSE)</f>
        <v>2419.57</v>
      </c>
      <c r="G108" s="248">
        <f>VLOOKUP($B108,Taul1!$A$12:$F$391,6,FALSE)</f>
        <v>2789.58</v>
      </c>
    </row>
    <row r="109" spans="1:7" ht="12.75">
      <c r="A109" s="249" t="s">
        <v>196</v>
      </c>
      <c r="B109" s="249">
        <v>40601001</v>
      </c>
      <c r="C109" s="249" t="s">
        <v>424</v>
      </c>
      <c r="D109" s="248">
        <f>VLOOKUP($B109,Taul1!$A$12:$F$391,3,FALSE)</f>
        <v>3891.71</v>
      </c>
      <c r="E109" s="248">
        <f>VLOOKUP($B109,Taul1!$A$12:$F$391,4,FALSE)</f>
        <v>4699.81</v>
      </c>
      <c r="F109" s="248">
        <f>VLOOKUP($B109,Taul1!$A$12:$F$391,5,FALSE)</f>
        <v>3854.46</v>
      </c>
      <c r="G109" s="248">
        <f>VLOOKUP($B109,Taul1!$A$12:$F$391,6,FALSE)</f>
        <v>4656.46</v>
      </c>
    </row>
    <row r="110" spans="1:7" ht="12.75">
      <c r="A110" s="249" t="s">
        <v>196</v>
      </c>
      <c r="B110" s="249">
        <v>40602002</v>
      </c>
      <c r="C110" s="249" t="s">
        <v>435</v>
      </c>
      <c r="D110" s="248">
        <f>VLOOKUP($B110,Taul1!$A$12:$F$391,3,FALSE)</f>
        <v>3294.8</v>
      </c>
      <c r="E110" s="248">
        <f>VLOOKUP($B110,Taul1!$A$12:$F$391,4,FALSE)</f>
        <v>4164.33</v>
      </c>
      <c r="F110" s="248">
        <f>VLOOKUP($B110,Taul1!$A$12:$F$391,5,FALSE)</f>
        <v>3263.26</v>
      </c>
      <c r="G110" s="248">
        <f>VLOOKUP($B110,Taul1!$A$12:$F$391,6,FALSE)</f>
        <v>4124.53</v>
      </c>
    </row>
    <row r="111" spans="1:7" ht="12.75">
      <c r="A111" s="249" t="s">
        <v>196</v>
      </c>
      <c r="B111" s="249">
        <v>40604006</v>
      </c>
      <c r="C111" s="249" t="s">
        <v>436</v>
      </c>
      <c r="D111" s="248">
        <f>VLOOKUP($B111,Taul1!$A$12:$F$391,3,FALSE)</f>
        <v>2772.61</v>
      </c>
      <c r="E111" s="248">
        <f>VLOOKUP($B111,Taul1!$A$12:$F$391,4,FALSE)</f>
        <v>0</v>
      </c>
      <c r="F111" s="248">
        <f>VLOOKUP($B111,Taul1!$A$12:$F$391,5,FALSE)</f>
        <v>2746.34</v>
      </c>
      <c r="G111" s="248">
        <f>VLOOKUP($B111,Taul1!$A$12:$F$391,6,FALSE)</f>
        <v>0</v>
      </c>
    </row>
    <row r="112" spans="1:7" ht="12.75">
      <c r="A112" s="249" t="s">
        <v>196</v>
      </c>
      <c r="B112" s="249">
        <v>40604007</v>
      </c>
      <c r="C112" s="249" t="s">
        <v>446</v>
      </c>
      <c r="D112" s="248">
        <f>VLOOKUP($B112,Taul1!$A$12:$F$391,3,FALSE)</f>
        <v>2494.67</v>
      </c>
      <c r="E112" s="248">
        <f>VLOOKUP($B112,Taul1!$A$12:$F$391,4,FALSE)</f>
        <v>0</v>
      </c>
      <c r="F112" s="248">
        <f>VLOOKUP($B112,Taul1!$A$12:$F$391,5,FALSE)</f>
        <v>2471.05</v>
      </c>
      <c r="G112" s="248">
        <f>VLOOKUP($B112,Taul1!$A$12:$F$391,6,FALSE)</f>
        <v>0</v>
      </c>
    </row>
    <row r="113" spans="1:7" ht="12.75">
      <c r="A113" s="249" t="s">
        <v>196</v>
      </c>
      <c r="B113" s="249">
        <v>40604008</v>
      </c>
      <c r="C113" s="249" t="s">
        <v>447</v>
      </c>
      <c r="D113" s="248">
        <f>VLOOKUP($B113,Taul1!$A$12:$F$391,3,FALSE)</f>
        <v>3069.66</v>
      </c>
      <c r="E113" s="248">
        <f>VLOOKUP($B113,Taul1!$A$12:$F$391,4,FALSE)</f>
        <v>3406.7</v>
      </c>
      <c r="F113" s="248">
        <f>VLOOKUP($B113,Taul1!$A$12:$F$391,5,FALSE)</f>
        <v>0</v>
      </c>
      <c r="G113" s="248">
        <f>VLOOKUP($B113,Taul1!$A$12:$F$391,6,FALSE)</f>
        <v>0</v>
      </c>
    </row>
    <row r="114" spans="1:7" ht="12.75">
      <c r="A114" s="249" t="s">
        <v>196</v>
      </c>
      <c r="B114" s="249">
        <v>40604009</v>
      </c>
      <c r="C114" s="249" t="s">
        <v>448</v>
      </c>
      <c r="D114" s="248">
        <f>VLOOKUP($B114,Taul1!$A$12:$F$391,3,FALSE)</f>
        <v>2776.33</v>
      </c>
      <c r="E114" s="248">
        <f>VLOOKUP($B114,Taul1!$A$12:$F$391,4,FALSE)</f>
        <v>3021.25</v>
      </c>
      <c r="F114" s="248">
        <f>VLOOKUP($B114,Taul1!$A$12:$F$391,5,FALSE)</f>
        <v>0</v>
      </c>
      <c r="G114" s="248">
        <f>VLOOKUP($B114,Taul1!$A$12:$F$391,6,FALSE)</f>
        <v>0</v>
      </c>
    </row>
    <row r="115" spans="1:7" ht="12.75">
      <c r="A115" s="239" t="s">
        <v>198</v>
      </c>
      <c r="B115" s="239">
        <v>40701011</v>
      </c>
      <c r="C115" s="239" t="s">
        <v>424</v>
      </c>
      <c r="D115" s="248">
        <f>VLOOKUP($B115,Taul1!$A$12:$F$391,3,FALSE)</f>
        <v>3782.69</v>
      </c>
      <c r="E115" s="248">
        <f>VLOOKUP($B115,Taul1!$A$12:$F$391,4,FALSE)</f>
        <v>4523.26</v>
      </c>
      <c r="F115" s="248">
        <f>VLOOKUP($B115,Taul1!$A$12:$F$391,5,FALSE)</f>
        <v>3746.51</v>
      </c>
      <c r="G115" s="248">
        <f>VLOOKUP($B115,Taul1!$A$12:$F$391,6,FALSE)</f>
        <v>4464.12</v>
      </c>
    </row>
    <row r="116" spans="1:7" ht="12.75">
      <c r="A116" s="239" t="s">
        <v>198</v>
      </c>
      <c r="B116" s="239">
        <v>40704021</v>
      </c>
      <c r="C116" s="239" t="s">
        <v>449</v>
      </c>
      <c r="D116" s="248">
        <f>VLOOKUP($B116,Taul1!$A$12:$F$391,3,FALSE)</f>
        <v>3506.94</v>
      </c>
      <c r="E116" s="248">
        <f>VLOOKUP($B116,Taul1!$A$12:$F$391,4,FALSE)</f>
        <v>0</v>
      </c>
      <c r="F116" s="248">
        <f>VLOOKUP($B116,Taul1!$A$12:$F$391,5,FALSE)</f>
        <v>3473.67</v>
      </c>
      <c r="G116" s="248">
        <f>VLOOKUP($B116,Taul1!$A$12:$F$391,6,FALSE)</f>
        <v>0</v>
      </c>
    </row>
    <row r="117" spans="1:7" ht="12.75">
      <c r="A117" s="239" t="s">
        <v>198</v>
      </c>
      <c r="B117" s="239">
        <v>40704022</v>
      </c>
      <c r="C117" s="239" t="s">
        <v>450</v>
      </c>
      <c r="D117" s="248">
        <f>VLOOKUP($B117,Taul1!$A$12:$F$391,3,FALSE)</f>
        <v>3419.12</v>
      </c>
      <c r="E117" s="248">
        <f>VLOOKUP($B117,Taul1!$A$12:$F$391,4,FALSE)</f>
        <v>0</v>
      </c>
      <c r="F117" s="248">
        <f>VLOOKUP($B117,Taul1!$A$12:$F$391,5,FALSE)</f>
        <v>3386.68</v>
      </c>
      <c r="G117" s="248">
        <f>VLOOKUP($B117,Taul1!$A$12:$F$391,6,FALSE)</f>
        <v>0</v>
      </c>
    </row>
    <row r="118" spans="1:7" ht="12.75">
      <c r="A118" s="239" t="s">
        <v>198</v>
      </c>
      <c r="B118" s="239">
        <v>40704023</v>
      </c>
      <c r="C118" s="239" t="s">
        <v>451</v>
      </c>
      <c r="D118" s="248">
        <f>VLOOKUP($B118,Taul1!$A$12:$F$391,3,FALSE)</f>
        <v>2935.55</v>
      </c>
      <c r="E118" s="248">
        <f>VLOOKUP($B118,Taul1!$A$12:$F$391,4,FALSE)</f>
        <v>0</v>
      </c>
      <c r="F118" s="248">
        <f>VLOOKUP($B118,Taul1!$A$12:$F$391,5,FALSE)</f>
        <v>2907.71</v>
      </c>
      <c r="G118" s="248">
        <f>VLOOKUP($B118,Taul1!$A$12:$F$391,6,FALSE)</f>
        <v>0</v>
      </c>
    </row>
    <row r="119" spans="1:14" ht="12.75">
      <c r="A119" s="239" t="s">
        <v>461</v>
      </c>
      <c r="B119" s="239">
        <v>45000020</v>
      </c>
      <c r="C119" s="239" t="s">
        <v>462</v>
      </c>
      <c r="D119" s="248">
        <f>VLOOKUP($B119,Taul1!$A$12:$F$391,3,FALSE)</f>
        <v>3153.62</v>
      </c>
      <c r="E119" s="248">
        <f>VLOOKUP($B119,Taul1!$A$12:$F$391,4,FALSE)</f>
        <v>0</v>
      </c>
      <c r="F119" s="248">
        <f>VLOOKUP($B119,Taul1!$A$12:$F$391,5,FALSE)</f>
        <v>0</v>
      </c>
      <c r="G119" s="248">
        <f>VLOOKUP($B119,Taul1!$A$12:$F$391,6,FALSE)</f>
        <v>0</v>
      </c>
      <c r="I119" s="248"/>
      <c r="J119" s="248"/>
      <c r="K119" s="248"/>
      <c r="L119" s="248"/>
      <c r="M119" s="248"/>
      <c r="N119" s="248"/>
    </row>
    <row r="120" spans="1:7" ht="12.75">
      <c r="A120" s="239" t="s">
        <v>461</v>
      </c>
      <c r="B120" s="239">
        <v>45000030</v>
      </c>
      <c r="C120" s="239" t="s">
        <v>463</v>
      </c>
      <c r="D120" s="248">
        <f>VLOOKUP($B120,Taul1!$A$12:$F$391,3,FALSE)</f>
        <v>2935.66</v>
      </c>
      <c r="E120" s="248">
        <f>VLOOKUP($B120,Taul1!$A$12:$F$391,4,FALSE)</f>
        <v>0</v>
      </c>
      <c r="F120" s="248">
        <f>VLOOKUP($B120,Taul1!$A$12:$F$391,5,FALSE)</f>
        <v>0</v>
      </c>
      <c r="G120" s="248">
        <f>VLOOKUP($B120,Taul1!$A$12:$F$391,6,FALSE)</f>
        <v>0</v>
      </c>
    </row>
    <row r="121" spans="1:14" ht="12.75">
      <c r="A121" s="239" t="s">
        <v>461</v>
      </c>
      <c r="B121" s="239">
        <v>45000042</v>
      </c>
      <c r="C121" s="239" t="s">
        <v>464</v>
      </c>
      <c r="D121" s="248">
        <f>VLOOKUP($B121,Taul1!$A$12:$F$391,3,FALSE)</f>
        <v>2789.57</v>
      </c>
      <c r="E121" s="248">
        <f>VLOOKUP($B121,Taul1!$A$12:$F$391,4,FALSE)</f>
        <v>0</v>
      </c>
      <c r="F121" s="248">
        <f>VLOOKUP($B121,Taul1!$A$12:$F$391,5,FALSE)</f>
        <v>0</v>
      </c>
      <c r="G121" s="248">
        <f>VLOOKUP($B121,Taul1!$A$12:$F$391,6,FALSE)</f>
        <v>0</v>
      </c>
      <c r="M121" s="248"/>
      <c r="N121" s="248"/>
    </row>
    <row r="122" spans="1:14" ht="12.75">
      <c r="A122" s="239" t="s">
        <v>461</v>
      </c>
      <c r="B122" s="239">
        <v>45000044</v>
      </c>
      <c r="C122" s="239" t="s">
        <v>465</v>
      </c>
      <c r="D122" s="248">
        <f>VLOOKUP($B122,Taul1!$A$12:$F$391,3,FALSE)</f>
        <v>2620.22</v>
      </c>
      <c r="E122" s="248">
        <f>VLOOKUP($B122,Taul1!$A$12:$F$391,4,FALSE)</f>
        <v>0</v>
      </c>
      <c r="F122" s="248">
        <f>VLOOKUP($B122,Taul1!$A$12:$F$391,5,FALSE)</f>
        <v>0</v>
      </c>
      <c r="G122" s="248">
        <f>VLOOKUP($B122,Taul1!$A$12:$F$391,6,FALSE)</f>
        <v>0</v>
      </c>
      <c r="I122" s="248"/>
      <c r="J122" s="248"/>
      <c r="K122" s="248"/>
      <c r="L122" s="248"/>
      <c r="M122" s="248"/>
      <c r="N122" s="248"/>
    </row>
    <row r="123" spans="4:14" ht="12.75">
      <c r="D123" s="248"/>
      <c r="E123" s="248"/>
      <c r="F123" s="248"/>
      <c r="G123" s="248"/>
      <c r="I123" s="248"/>
      <c r="J123" s="248"/>
      <c r="K123" s="248"/>
      <c r="L123" s="248"/>
      <c r="M123" s="248"/>
      <c r="N123" s="248"/>
    </row>
    <row r="124" spans="4:18" ht="12.75">
      <c r="D124" s="248"/>
      <c r="E124" s="248"/>
      <c r="F124" s="248"/>
      <c r="G124" s="248"/>
      <c r="I124" s="248"/>
      <c r="J124" s="248"/>
      <c r="K124" s="248"/>
      <c r="L124" s="248"/>
      <c r="M124" s="248"/>
      <c r="N124" s="248"/>
      <c r="R124" s="248"/>
    </row>
    <row r="125" spans="1:19" s="248" customFormat="1" ht="12.75">
      <c r="A125" s="239"/>
      <c r="B125" s="239"/>
      <c r="C125" s="239"/>
      <c r="D125" s="239"/>
      <c r="E125" s="239"/>
      <c r="F125" s="239"/>
      <c r="G125" s="239"/>
      <c r="Q125" s="239"/>
      <c r="S125" s="239"/>
    </row>
    <row r="126" spans="1:19" s="248" customFormat="1" ht="12.75">
      <c r="A126" s="240" t="s">
        <v>362</v>
      </c>
      <c r="B126" s="239"/>
      <c r="C126" s="239"/>
      <c r="D126" s="239"/>
      <c r="E126" s="239"/>
      <c r="F126" s="239"/>
      <c r="G126" s="239"/>
      <c r="Q126" s="239"/>
      <c r="R126" s="239"/>
      <c r="S126" s="239"/>
    </row>
    <row r="127" spans="4:15" ht="12.75">
      <c r="D127" s="239" t="s">
        <v>169</v>
      </c>
      <c r="E127" s="239" t="s">
        <v>169</v>
      </c>
      <c r="F127" s="239" t="s">
        <v>169</v>
      </c>
      <c r="G127" s="239" t="s">
        <v>169</v>
      </c>
      <c r="H127" s="239" t="s">
        <v>169</v>
      </c>
      <c r="I127" s="239" t="s">
        <v>169</v>
      </c>
      <c r="J127" s="239" t="s">
        <v>170</v>
      </c>
      <c r="K127" s="239" t="s">
        <v>170</v>
      </c>
      <c r="L127" s="239" t="s">
        <v>170</v>
      </c>
      <c r="M127" s="239" t="s">
        <v>170</v>
      </c>
      <c r="N127" s="239" t="s">
        <v>170</v>
      </c>
      <c r="O127" s="239" t="s">
        <v>170</v>
      </c>
    </row>
    <row r="128" spans="4:15" ht="12.75">
      <c r="D128" s="248" t="s">
        <v>159</v>
      </c>
      <c r="E128" s="248" t="s">
        <v>335</v>
      </c>
      <c r="F128" s="248" t="s">
        <v>334</v>
      </c>
      <c r="G128" s="248" t="s">
        <v>160</v>
      </c>
      <c r="H128" s="248" t="s">
        <v>161</v>
      </c>
      <c r="I128" s="248" t="s">
        <v>336</v>
      </c>
      <c r="J128" s="248" t="s">
        <v>159</v>
      </c>
      <c r="K128" s="248" t="s">
        <v>335</v>
      </c>
      <c r="L128" s="248" t="s">
        <v>334</v>
      </c>
      <c r="M128" s="248" t="s">
        <v>160</v>
      </c>
      <c r="N128" s="248" t="s">
        <v>161</v>
      </c>
      <c r="O128" s="248" t="s">
        <v>336</v>
      </c>
    </row>
    <row r="129" spans="1:15" ht="12.75">
      <c r="A129" s="239" t="s">
        <v>361</v>
      </c>
      <c r="B129" s="251">
        <v>41103003</v>
      </c>
      <c r="C129" s="239" t="s">
        <v>426</v>
      </c>
      <c r="D129" s="248">
        <f>Taul1!$C150</f>
        <v>3659.11</v>
      </c>
      <c r="E129" s="248">
        <f>Taul1!$C151</f>
        <v>3861.51</v>
      </c>
      <c r="F129" s="248">
        <f>Taul1!$C152</f>
        <v>4004.53</v>
      </c>
      <c r="G129" s="248">
        <f>Taul1!$C153</f>
        <v>4227.66</v>
      </c>
      <c r="H129" s="248">
        <f>Taul1!$C154</f>
        <v>4464.17</v>
      </c>
      <c r="I129" s="248">
        <f>Taul1!$C155</f>
        <v>4714.9</v>
      </c>
      <c r="J129" s="259">
        <f>Taul1!$E150</f>
        <v>3624.36</v>
      </c>
      <c r="K129" s="259">
        <f>Taul1!$E151</f>
        <v>3824.84</v>
      </c>
      <c r="L129" s="259">
        <f>Taul1!$E152</f>
        <v>3966.53</v>
      </c>
      <c r="M129" s="259">
        <f>Taul1!$E153</f>
        <v>4187.53</v>
      </c>
      <c r="N129" s="259">
        <f>Taul1!$E154</f>
        <v>4421.81</v>
      </c>
      <c r="O129" s="259">
        <f>Taul1!$E155</f>
        <v>4670.13</v>
      </c>
    </row>
    <row r="130" spans="1:15" ht="12.75">
      <c r="A130" s="239" t="s">
        <v>361</v>
      </c>
      <c r="B130" s="251">
        <v>41103004</v>
      </c>
      <c r="C130" s="239" t="s">
        <v>192</v>
      </c>
      <c r="D130" s="248">
        <f>Taul1!$C157</f>
        <v>3352.64</v>
      </c>
      <c r="E130" s="248">
        <f>Taul1!$C158</f>
        <v>3419.69</v>
      </c>
      <c r="F130" s="248">
        <f>Taul1!$C159</f>
        <v>3522.28</v>
      </c>
      <c r="G130" s="248">
        <f>Taul1!$C160</f>
        <v>3698.38</v>
      </c>
      <c r="H130" s="248">
        <f>Taul1!$C161</f>
        <v>3992.65</v>
      </c>
      <c r="I130" s="248">
        <f>Taul1!$C162</f>
        <v>4152.36</v>
      </c>
      <c r="J130" s="259">
        <f>Taul1!$E157</f>
        <v>3320.34</v>
      </c>
      <c r="K130" s="259">
        <f>Taul1!$E158</f>
        <v>3386.74</v>
      </c>
      <c r="L130" s="259">
        <f>Taul1!$E159</f>
        <v>3488.35</v>
      </c>
      <c r="M130" s="259">
        <f>Taul1!$E160</f>
        <v>3662.8</v>
      </c>
      <c r="N130" s="259">
        <f>Taul1!$E161</f>
        <v>3954.19</v>
      </c>
      <c r="O130" s="259">
        <f>Taul1!$E162</f>
        <v>4112.36</v>
      </c>
    </row>
    <row r="131" spans="1:15" ht="12.75">
      <c r="A131" s="239" t="s">
        <v>361</v>
      </c>
      <c r="B131" s="251">
        <v>41104001</v>
      </c>
      <c r="C131" s="239" t="s">
        <v>427</v>
      </c>
      <c r="D131" s="248">
        <f>Taul1!$C165</f>
        <v>3659.11</v>
      </c>
      <c r="E131" s="248">
        <f>Taul1!$C166</f>
        <v>3861.51</v>
      </c>
      <c r="F131" s="248">
        <f>Taul1!$C167</f>
        <v>4004.53</v>
      </c>
      <c r="G131" s="248">
        <f>Taul1!$C168</f>
        <v>4227.66</v>
      </c>
      <c r="H131" s="248">
        <f>Taul1!$C169</f>
        <v>4464.17</v>
      </c>
      <c r="I131" s="248">
        <f>Taul1!$C170</f>
        <v>4714.9</v>
      </c>
      <c r="J131" s="259">
        <f>Taul1!$E165</f>
        <v>3624.36</v>
      </c>
      <c r="K131" s="259">
        <f>Taul1!$E166</f>
        <v>3824.84</v>
      </c>
      <c r="L131" s="259">
        <f>Taul1!$E167</f>
        <v>3966.53</v>
      </c>
      <c r="M131" s="259">
        <f>Taul1!$E168</f>
        <v>4187.53</v>
      </c>
      <c r="N131" s="259">
        <f>Taul1!$E169</f>
        <v>4421.81</v>
      </c>
      <c r="O131" s="259">
        <f>Taul1!$E170</f>
        <v>4670.13</v>
      </c>
    </row>
    <row r="132" spans="1:15" ht="12.75">
      <c r="A132" s="239" t="s">
        <v>361</v>
      </c>
      <c r="B132" s="251">
        <v>41107001</v>
      </c>
      <c r="C132" s="239" t="s">
        <v>428</v>
      </c>
      <c r="D132" s="248">
        <f>Taul1!$C165</f>
        <v>3659.11</v>
      </c>
      <c r="E132" s="248">
        <f>Taul1!$C166</f>
        <v>3861.51</v>
      </c>
      <c r="F132" s="248">
        <f>Taul1!$C167</f>
        <v>4004.53</v>
      </c>
      <c r="G132" s="248">
        <f>Taul1!$C168</f>
        <v>4227.66</v>
      </c>
      <c r="H132" s="248">
        <f>Taul1!$C169</f>
        <v>4464.17</v>
      </c>
      <c r="I132" s="248">
        <f>Taul1!$C170</f>
        <v>4714.9</v>
      </c>
      <c r="J132" s="259">
        <f>Taul1!$E165</f>
        <v>3624.36</v>
      </c>
      <c r="K132" s="259">
        <f>Taul1!$E166</f>
        <v>3824.84</v>
      </c>
      <c r="L132" s="259">
        <f>Taul1!$E167</f>
        <v>3966.53</v>
      </c>
      <c r="M132" s="259">
        <f>Taul1!$E168</f>
        <v>4187.53</v>
      </c>
      <c r="N132" s="259">
        <f>Taul1!$E169</f>
        <v>4421.81</v>
      </c>
      <c r="O132" s="259">
        <f>Taul1!$E170</f>
        <v>4670.13</v>
      </c>
    </row>
    <row r="133" spans="1:15" ht="12.75">
      <c r="A133" s="248" t="s">
        <v>361</v>
      </c>
      <c r="B133" s="252">
        <v>41104002</v>
      </c>
      <c r="C133" s="248" t="s">
        <v>429</v>
      </c>
      <c r="D133" s="248">
        <f>Taul1!$C173</f>
        <v>3235.77</v>
      </c>
      <c r="E133" s="248">
        <f>Taul1!$C174</f>
        <v>3414.76</v>
      </c>
      <c r="F133" s="248">
        <f>Taul1!$C175</f>
        <v>3541.25</v>
      </c>
      <c r="G133" s="248">
        <f>Taul1!$C176</f>
        <v>3738.56</v>
      </c>
      <c r="H133" s="248">
        <f>Taul1!$C177</f>
        <v>3947.71</v>
      </c>
      <c r="I133" s="248">
        <f>Taul1!$C178</f>
        <v>4169.42</v>
      </c>
      <c r="J133" s="259">
        <f>Taul1!$E173</f>
        <v>3205.06</v>
      </c>
      <c r="K133" s="259">
        <f>Taul1!$E174</f>
        <v>3382.36</v>
      </c>
      <c r="L133" s="259">
        <f>Taul1!$E175</f>
        <v>3507.64</v>
      </c>
      <c r="M133" s="259">
        <f>Taul1!$E176</f>
        <v>3703.08</v>
      </c>
      <c r="N133" s="259">
        <f>Taul1!$E177</f>
        <v>3910.25</v>
      </c>
      <c r="O133" s="259">
        <f>Taul1!$E178</f>
        <v>4129.85</v>
      </c>
    </row>
    <row r="134" spans="1:15" ht="12.75">
      <c r="A134" s="248" t="s">
        <v>361</v>
      </c>
      <c r="B134" s="252">
        <v>41107002</v>
      </c>
      <c r="C134" s="248" t="s">
        <v>430</v>
      </c>
      <c r="D134" s="248">
        <f>Taul1!$C173</f>
        <v>3235.77</v>
      </c>
      <c r="E134" s="248">
        <f>Taul1!$C174</f>
        <v>3414.76</v>
      </c>
      <c r="F134" s="248">
        <f>Taul1!$C175</f>
        <v>3541.25</v>
      </c>
      <c r="G134" s="248">
        <f>Taul1!$C176</f>
        <v>3738.56</v>
      </c>
      <c r="H134" s="248">
        <f>Taul1!$C177</f>
        <v>3947.71</v>
      </c>
      <c r="I134" s="248">
        <f>Taul1!$C178</f>
        <v>4169.42</v>
      </c>
      <c r="J134" s="259">
        <f>Taul1!$E173</f>
        <v>3205.06</v>
      </c>
      <c r="K134" s="259">
        <f>Taul1!$E174</f>
        <v>3382.36</v>
      </c>
      <c r="L134" s="259">
        <f>Taul1!$E175</f>
        <v>3507.64</v>
      </c>
      <c r="M134" s="259">
        <f>Taul1!$E176</f>
        <v>3703.08</v>
      </c>
      <c r="N134" s="259">
        <f>Taul1!$E177</f>
        <v>3910.25</v>
      </c>
      <c r="O134" s="259">
        <f>Taul1!$E178</f>
        <v>4129.85</v>
      </c>
    </row>
    <row r="135" spans="1:15" ht="12.75">
      <c r="A135" s="239" t="s">
        <v>361</v>
      </c>
      <c r="B135" s="251">
        <v>41104003</v>
      </c>
      <c r="C135" s="239" t="s">
        <v>431</v>
      </c>
      <c r="D135" s="248">
        <f>Taul1!$C181</f>
        <v>2975.36</v>
      </c>
      <c r="E135" s="248">
        <f>Taul1!$C182</f>
        <v>3139.94</v>
      </c>
      <c r="F135" s="248">
        <f>Taul1!$C183</f>
        <v>3256.24</v>
      </c>
      <c r="G135" s="248">
        <f>Taul1!$C184</f>
        <v>3437.69</v>
      </c>
      <c r="H135" s="248">
        <f>Taul1!$C185</f>
        <v>3630.01</v>
      </c>
      <c r="I135" s="248">
        <f>Taul1!$C186</f>
        <v>3833.87</v>
      </c>
      <c r="J135" s="259">
        <f>Taul1!$E181</f>
        <v>2947.17</v>
      </c>
      <c r="K135" s="259">
        <f>Taul1!$E182</f>
        <v>3110.2</v>
      </c>
      <c r="L135" s="259">
        <f>Taul1!$E183</f>
        <v>3225.39</v>
      </c>
      <c r="M135" s="259">
        <f>Taul1!$E184</f>
        <v>3405.13</v>
      </c>
      <c r="N135" s="259">
        <f>Taul1!$E185</f>
        <v>3595.62</v>
      </c>
      <c r="O135" s="259">
        <f>Taul1!$E186</f>
        <v>3797.55</v>
      </c>
    </row>
    <row r="136" spans="1:15" ht="12.75">
      <c r="A136" s="239" t="s">
        <v>361</v>
      </c>
      <c r="B136" s="251">
        <v>41107003</v>
      </c>
      <c r="C136" s="239" t="s">
        <v>432</v>
      </c>
      <c r="D136" s="248">
        <f>Taul1!$C181</f>
        <v>2975.36</v>
      </c>
      <c r="E136" s="248">
        <f>Taul1!$C182</f>
        <v>3139.94</v>
      </c>
      <c r="F136" s="248">
        <f>Taul1!$C183</f>
        <v>3256.24</v>
      </c>
      <c r="G136" s="248">
        <f>Taul1!$C184</f>
        <v>3437.69</v>
      </c>
      <c r="H136" s="248">
        <f>Taul1!$C185</f>
        <v>3630.01</v>
      </c>
      <c r="I136" s="248">
        <f>Taul1!$C186</f>
        <v>3833.87</v>
      </c>
      <c r="J136" s="259">
        <f>Taul1!$E181</f>
        <v>2947.17</v>
      </c>
      <c r="K136" s="259">
        <f>Taul1!$E182</f>
        <v>3110.2</v>
      </c>
      <c r="L136" s="259">
        <f>Taul1!$E183</f>
        <v>3225.39</v>
      </c>
      <c r="M136" s="259">
        <f>Taul1!$E184</f>
        <v>3405.13</v>
      </c>
      <c r="N136" s="259">
        <f>Taul1!$E185</f>
        <v>3595.62</v>
      </c>
      <c r="O136" s="259">
        <f>Taul1!$E186</f>
        <v>3797.55</v>
      </c>
    </row>
    <row r="137" spans="1:15" ht="12.75">
      <c r="A137" s="239" t="s">
        <v>361</v>
      </c>
      <c r="B137" s="251">
        <v>41104004</v>
      </c>
      <c r="C137" s="239" t="s">
        <v>433</v>
      </c>
      <c r="D137" s="248">
        <f>Taul1!$C189</f>
        <v>2969.63</v>
      </c>
      <c r="E137" s="248">
        <f>Taul1!$C190</f>
        <v>3133.9</v>
      </c>
      <c r="F137" s="248">
        <f>Taul1!$C191</f>
        <v>3249.99</v>
      </c>
      <c r="G137" s="248">
        <f>Taul1!$C192</f>
        <v>3431.07</v>
      </c>
      <c r="H137" s="248">
        <f>Taul1!$C193</f>
        <v>3623.02</v>
      </c>
      <c r="I137" s="248">
        <f>Taul1!$C194</f>
        <v>3826.48</v>
      </c>
      <c r="J137" s="259">
        <f>Taul1!$E189</f>
        <v>2941.4</v>
      </c>
      <c r="K137" s="259">
        <f>Taul1!$E190</f>
        <v>3104.14</v>
      </c>
      <c r="L137" s="259">
        <f>Taul1!$E191</f>
        <v>3219.11</v>
      </c>
      <c r="M137" s="259">
        <f>Taul1!$E192</f>
        <v>3398.48</v>
      </c>
      <c r="N137" s="259">
        <f>Taul1!$E193</f>
        <v>3588.6</v>
      </c>
      <c r="O137" s="259">
        <f>Taul1!$E194</f>
        <v>3790.13</v>
      </c>
    </row>
    <row r="138" spans="1:15" ht="12.75">
      <c r="A138" s="239" t="s">
        <v>361</v>
      </c>
      <c r="B138" s="251">
        <v>41107004</v>
      </c>
      <c r="C138" s="239" t="s">
        <v>434</v>
      </c>
      <c r="D138" s="248">
        <f>Taul1!$C189</f>
        <v>2969.63</v>
      </c>
      <c r="E138" s="248">
        <f>Taul1!$C190</f>
        <v>3133.9</v>
      </c>
      <c r="F138" s="248">
        <f>Taul1!$C191</f>
        <v>3249.99</v>
      </c>
      <c r="G138" s="248">
        <f>Taul1!$C192</f>
        <v>3431.07</v>
      </c>
      <c r="H138" s="248">
        <f>Taul1!$C193</f>
        <v>3623.02</v>
      </c>
      <c r="I138" s="248">
        <f>Taul1!$C194</f>
        <v>3826.48</v>
      </c>
      <c r="J138" s="259">
        <f>Taul1!$E189</f>
        <v>2941.4</v>
      </c>
      <c r="K138" s="259">
        <f>Taul1!$E190</f>
        <v>3104.14</v>
      </c>
      <c r="L138" s="259">
        <f>Taul1!$E191</f>
        <v>3219.11</v>
      </c>
      <c r="M138" s="259">
        <f>Taul1!$E192</f>
        <v>3398.48</v>
      </c>
      <c r="N138" s="259">
        <f>Taul1!$E193</f>
        <v>3588.6</v>
      </c>
      <c r="O138" s="259">
        <f>Taul1!$E194</f>
        <v>3790.13</v>
      </c>
    </row>
    <row r="140" ht="12.75">
      <c r="A140" s="240" t="s">
        <v>199</v>
      </c>
    </row>
    <row r="141" ht="12.75">
      <c r="A141" s="240"/>
    </row>
    <row r="142" ht="12.75">
      <c r="A142" s="240" t="s">
        <v>200</v>
      </c>
    </row>
    <row r="144" spans="1:4" ht="12.75">
      <c r="A144" s="239" t="s">
        <v>193</v>
      </c>
      <c r="B144" s="239">
        <v>40807029</v>
      </c>
      <c r="C144" s="239" t="s">
        <v>230</v>
      </c>
      <c r="D144" s="248">
        <f>Taul1!C310</f>
        <v>29.88</v>
      </c>
    </row>
    <row r="145" spans="1:4" ht="12.75">
      <c r="A145" s="239" t="s">
        <v>193</v>
      </c>
      <c r="B145" s="239">
        <v>40807030</v>
      </c>
      <c r="C145" s="239" t="s">
        <v>231</v>
      </c>
      <c r="D145" s="248">
        <f>Taul1!C311</f>
        <v>29.31</v>
      </c>
    </row>
    <row r="146" spans="1:4" ht="12.75">
      <c r="A146" s="239" t="s">
        <v>193</v>
      </c>
      <c r="B146" s="239">
        <v>40807031</v>
      </c>
      <c r="C146" s="239" t="s">
        <v>201</v>
      </c>
      <c r="D146" s="248">
        <f>Taul1!C312</f>
        <v>27.46</v>
      </c>
    </row>
    <row r="148" ht="12.75">
      <c r="A148" s="240" t="s">
        <v>202</v>
      </c>
    </row>
    <row r="149" spans="4:5" ht="12.75">
      <c r="D149" s="239" t="s">
        <v>162</v>
      </c>
      <c r="E149" s="239" t="s">
        <v>163</v>
      </c>
    </row>
    <row r="150" spans="1:5" ht="12.75">
      <c r="A150" s="239" t="s">
        <v>194</v>
      </c>
      <c r="B150" s="239">
        <v>40507040</v>
      </c>
      <c r="C150" s="239" t="s">
        <v>195</v>
      </c>
      <c r="D150" s="259">
        <f>Taul1!C322</f>
        <v>26.26</v>
      </c>
      <c r="E150" s="259">
        <f>Taul1!D322</f>
        <v>33.64</v>
      </c>
    </row>
    <row r="153" ht="12.75">
      <c r="A153" s="240" t="s">
        <v>203</v>
      </c>
    </row>
    <row r="154" spans="4:5" ht="12.75">
      <c r="D154" s="239" t="s">
        <v>162</v>
      </c>
      <c r="E154" s="239" t="s">
        <v>163</v>
      </c>
    </row>
    <row r="155" spans="1:5" ht="12.75">
      <c r="A155" s="239" t="s">
        <v>196</v>
      </c>
      <c r="B155" s="239">
        <v>40607033</v>
      </c>
      <c r="C155" s="239" t="s">
        <v>197</v>
      </c>
      <c r="D155" s="259">
        <f>Taul1!C334</f>
        <v>26.74</v>
      </c>
      <c r="E155" s="259">
        <f>Taul1!D334</f>
        <v>30.67</v>
      </c>
    </row>
    <row r="158" ht="12.75">
      <c r="A158" s="240" t="s">
        <v>204</v>
      </c>
    </row>
    <row r="159" spans="4:5" ht="12.75">
      <c r="D159" s="239" t="s">
        <v>162</v>
      </c>
      <c r="E159" s="239" t="s">
        <v>163</v>
      </c>
    </row>
    <row r="160" spans="1:5" ht="12.75">
      <c r="A160" s="239" t="s">
        <v>198</v>
      </c>
      <c r="B160" s="239">
        <v>40707033</v>
      </c>
      <c r="C160" s="239" t="s">
        <v>229</v>
      </c>
      <c r="D160" s="259">
        <f>Taul1!C347</f>
        <v>26.74</v>
      </c>
      <c r="E160" s="259">
        <f>Taul1!D347</f>
        <v>30.67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3"/>
  <sheetViews>
    <sheetView zoomScalePageLayoutView="0" workbookViewId="0" topLeftCell="A347">
      <selection activeCell="C157" sqref="C157"/>
    </sheetView>
  </sheetViews>
  <sheetFormatPr defaultColWidth="9.140625" defaultRowHeight="12.75"/>
  <cols>
    <col min="1" max="1" width="12.00390625" style="314" customWidth="1"/>
    <col min="2" max="2" width="120.57421875" style="309" bestFit="1" customWidth="1"/>
    <col min="3" max="3" width="10.421875" style="239" bestFit="1" customWidth="1"/>
    <col min="4" max="4" width="8.7109375" style="239" customWidth="1"/>
    <col min="5" max="5" width="10.00390625" style="239" customWidth="1"/>
    <col min="6" max="6" width="8.7109375" style="239" customWidth="1"/>
    <col min="7" max="7" width="3.28125" style="239" customWidth="1"/>
    <col min="8" max="8" width="5.7109375" style="239" customWidth="1"/>
    <col min="9" max="9" width="8.7109375" style="239" customWidth="1"/>
    <col min="10" max="16384" width="9.140625" style="310" customWidth="1"/>
  </cols>
  <sheetData>
    <row r="1" spans="1:9" ht="15" customHeight="1">
      <c r="A1" s="308" t="s">
        <v>510</v>
      </c>
      <c r="C1" s="3"/>
      <c r="I1" s="248">
        <v>2.02</v>
      </c>
    </row>
    <row r="2" spans="1:9" ht="15" customHeight="1">
      <c r="A2" s="308"/>
      <c r="C2" s="3"/>
      <c r="G2" s="311"/>
      <c r="I2" s="248"/>
    </row>
    <row r="3" spans="1:9" ht="15" customHeight="1">
      <c r="A3" s="308" t="s">
        <v>511</v>
      </c>
      <c r="C3" s="7"/>
      <c r="D3" s="312"/>
      <c r="F3" s="311"/>
      <c r="G3" s="240"/>
      <c r="H3" s="312"/>
      <c r="I3" s="313" t="s">
        <v>512</v>
      </c>
    </row>
    <row r="4" spans="3:9" ht="15" customHeight="1">
      <c r="C4" s="6"/>
      <c r="I4" s="313" t="s">
        <v>513</v>
      </c>
    </row>
    <row r="5" spans="1:10" ht="15" customHeight="1">
      <c r="A5" s="308" t="s">
        <v>514</v>
      </c>
      <c r="B5" s="315"/>
      <c r="D5" s="316"/>
      <c r="E5" s="316"/>
      <c r="I5" s="317" t="s">
        <v>2</v>
      </c>
      <c r="J5" s="317" t="s">
        <v>3</v>
      </c>
    </row>
    <row r="6" spans="2:17" ht="15" customHeight="1">
      <c r="B6" s="318" t="s">
        <v>515</v>
      </c>
      <c r="C6" s="259">
        <f>ROUND('[2]1.10.2022'!C6*(I6/100+1),2)</f>
        <v>38.99</v>
      </c>
      <c r="D6" s="319" t="s">
        <v>516</v>
      </c>
      <c r="E6" s="316"/>
      <c r="H6" s="259"/>
      <c r="I6" s="259">
        <f>$I$1</f>
        <v>2.02</v>
      </c>
      <c r="J6" s="259"/>
      <c r="K6" s="320"/>
      <c r="L6" s="320">
        <f>(C6-'[2]1.10.2022'!C6)/'[2]1.10.2022'!C6*100</f>
        <v>2.0146520146520226</v>
      </c>
      <c r="M6" s="320"/>
      <c r="N6" s="320"/>
      <c r="O6" s="320"/>
      <c r="P6" s="320"/>
      <c r="Q6" s="320"/>
    </row>
    <row r="7" spans="4:17" ht="14.25">
      <c r="D7" s="321"/>
      <c r="I7" s="259"/>
      <c r="J7" s="259"/>
      <c r="K7" s="320"/>
      <c r="L7" s="320"/>
      <c r="M7" s="320"/>
      <c r="N7" s="320"/>
      <c r="O7" s="320"/>
      <c r="P7" s="320"/>
      <c r="Q7" s="320"/>
    </row>
    <row r="8" spans="1:17" ht="15" customHeight="1">
      <c r="A8" s="308" t="s">
        <v>517</v>
      </c>
      <c r="I8" s="259"/>
      <c r="J8" s="259"/>
      <c r="K8" s="320"/>
      <c r="L8" s="320"/>
      <c r="M8" s="320"/>
      <c r="N8" s="320"/>
      <c r="O8" s="320"/>
      <c r="P8" s="320"/>
      <c r="Q8" s="320"/>
    </row>
    <row r="9" spans="1:17" ht="15" customHeight="1">
      <c r="A9" s="308" t="s">
        <v>518</v>
      </c>
      <c r="I9" s="259"/>
      <c r="J9" s="259"/>
      <c r="K9" s="320"/>
      <c r="L9" s="320"/>
      <c r="M9" s="320"/>
      <c r="N9" s="320"/>
      <c r="O9" s="320"/>
      <c r="P9" s="320"/>
      <c r="Q9" s="320"/>
    </row>
    <row r="10" spans="1:17" ht="15" customHeight="1">
      <c r="A10" s="322" t="s">
        <v>180</v>
      </c>
      <c r="B10" s="323"/>
      <c r="C10" s="17" t="s">
        <v>162</v>
      </c>
      <c r="D10" s="324" t="s">
        <v>163</v>
      </c>
      <c r="E10" s="17" t="s">
        <v>162</v>
      </c>
      <c r="F10" s="324" t="s">
        <v>163</v>
      </c>
      <c r="G10" s="324"/>
      <c r="H10" s="325"/>
      <c r="I10" s="259"/>
      <c r="J10" s="259"/>
      <c r="K10" s="320"/>
      <c r="L10" s="320"/>
      <c r="M10" s="320"/>
      <c r="N10" s="320"/>
      <c r="O10" s="320"/>
      <c r="P10" s="320"/>
      <c r="Q10" s="320"/>
    </row>
    <row r="11" spans="1:17" ht="15" customHeight="1">
      <c r="A11" s="314" t="s">
        <v>182</v>
      </c>
      <c r="C11" s="326" t="s">
        <v>2</v>
      </c>
      <c r="D11" s="326" t="s">
        <v>2</v>
      </c>
      <c r="E11" s="326" t="s">
        <v>3</v>
      </c>
      <c r="F11" s="326" t="s">
        <v>3</v>
      </c>
      <c r="G11" s="317"/>
      <c r="H11" s="317"/>
      <c r="I11" s="259"/>
      <c r="J11" s="259"/>
      <c r="K11" s="320"/>
      <c r="L11" s="320"/>
      <c r="M11" s="320"/>
      <c r="N11" s="320"/>
      <c r="O11" s="320"/>
      <c r="P11" s="320"/>
      <c r="Q11" s="320"/>
    </row>
    <row r="12" spans="1:17" ht="15" customHeight="1">
      <c r="A12" s="327">
        <v>40301101</v>
      </c>
      <c r="B12" s="328" t="s">
        <v>364</v>
      </c>
      <c r="C12" s="259">
        <f>ROUND('[2]1.10.2022'!C12*($I12/100+1),2)</f>
        <v>4000.89</v>
      </c>
      <c r="D12" s="259">
        <f>ROUND('[2]1.10.2022'!D12*($I12/100+1),2)</f>
        <v>4296.81</v>
      </c>
      <c r="E12" s="259">
        <f>ROUND('[2]1.10.2022'!E12*($J12/100+1),2)</f>
        <v>3962.63</v>
      </c>
      <c r="F12" s="259">
        <f>ROUND('[2]1.10.2022'!F12*($J12/100+1),2)</f>
        <v>4255.66</v>
      </c>
      <c r="G12" s="329"/>
      <c r="H12" s="259"/>
      <c r="I12" s="259">
        <f>$I$1</f>
        <v>2.02</v>
      </c>
      <c r="J12" s="259">
        <f>$I$1</f>
        <v>2.02</v>
      </c>
      <c r="K12" s="320"/>
      <c r="L12" s="320">
        <f>(C12-'[2]1.10.2022'!C12)/'[2]1.10.2022'!C12*100</f>
        <v>2.020057781506343</v>
      </c>
      <c r="M12" s="320">
        <f>(D12-'[2]1.10.2022'!D12)/'[2]1.10.2022'!D12*100</f>
        <v>2.0200725117707177</v>
      </c>
      <c r="N12" s="320">
        <f>(E12-'[2]1.10.2022'!E12)/'[2]1.10.2022'!E12*100</f>
        <v>2.0199939755469005</v>
      </c>
      <c r="O12" s="320">
        <f>(F12-'[2]1.10.2022'!F12)/'[2]1.10.2022'!F12*100</f>
        <v>2.0199453420913898</v>
      </c>
      <c r="P12" s="320"/>
      <c r="Q12" s="320"/>
    </row>
    <row r="13" spans="1:17" ht="15" customHeight="1">
      <c r="A13" s="327">
        <v>40301201</v>
      </c>
      <c r="B13" s="328" t="s">
        <v>365</v>
      </c>
      <c r="C13" s="259">
        <f>ROUND('[2]1.10.2022'!C13*($I13/100+1),2)</f>
        <v>4132.86</v>
      </c>
      <c r="D13" s="259">
        <f>ROUND('[2]1.10.2022'!D13*($I13/100+1),2)</f>
        <v>4469.88</v>
      </c>
      <c r="E13" s="259">
        <f>ROUND('[2]1.10.2022'!E13*($J13/100+1),2)</f>
        <v>4093.31</v>
      </c>
      <c r="F13" s="259">
        <f>ROUND('[2]1.10.2022'!F13*($J13/100+1),2)</f>
        <v>4427.11</v>
      </c>
      <c r="G13" s="329"/>
      <c r="H13" s="259"/>
      <c r="I13" s="259">
        <f>$I$1</f>
        <v>2.02</v>
      </c>
      <c r="J13" s="259">
        <f>$I$1</f>
        <v>2.02</v>
      </c>
      <c r="K13" s="320"/>
      <c r="L13" s="320">
        <f>(C13-'[2]1.10.2022'!C13)/'[2]1.10.2022'!C13*100</f>
        <v>2.019980103825434</v>
      </c>
      <c r="M13" s="320">
        <f>(D13-'[2]1.10.2022'!D13)/'[2]1.10.2022'!D13*100</f>
        <v>2.019911534721937</v>
      </c>
      <c r="N13" s="320">
        <f>(E13-'[2]1.10.2022'!E13)/'[2]1.10.2022'!E13*100</f>
        <v>2.020058520634249</v>
      </c>
      <c r="O13" s="320">
        <f>(F13-'[2]1.10.2022'!F13)/'[2]1.10.2022'!F13*100</f>
        <v>2.020071668068531</v>
      </c>
      <c r="P13" s="320"/>
      <c r="Q13" s="320"/>
    </row>
    <row r="14" spans="1:17" ht="15" customHeight="1">
      <c r="A14" s="327">
        <v>40301301</v>
      </c>
      <c r="B14" s="328" t="s">
        <v>366</v>
      </c>
      <c r="C14" s="259">
        <f>ROUND('[2]1.10.2022'!C14*($I14/100+1),2)</f>
        <v>4296.81</v>
      </c>
      <c r="D14" s="259">
        <f>ROUND('[2]1.10.2022'!D14*($I14/100+1),2)</f>
        <v>4664.23</v>
      </c>
      <c r="E14" s="259">
        <f>ROUND('[2]1.10.2022'!E14*($J14/100+1),2)</f>
        <v>4255.66</v>
      </c>
      <c r="F14" s="259">
        <f>ROUND('[2]1.10.2022'!F14*($J14/100+1),2)</f>
        <v>4619.64</v>
      </c>
      <c r="G14" s="329"/>
      <c r="H14" s="259"/>
      <c r="I14" s="259">
        <f>$I$1</f>
        <v>2.02</v>
      </c>
      <c r="J14" s="259">
        <f>$I$1</f>
        <v>2.02</v>
      </c>
      <c r="K14" s="320"/>
      <c r="L14" s="320">
        <f>(C14-'[2]1.10.2022'!C14)/'[2]1.10.2022'!C14*100</f>
        <v>2.0200725117707177</v>
      </c>
      <c r="M14" s="320">
        <f>(D14-'[2]1.10.2022'!D14)/'[2]1.10.2022'!D14*100</f>
        <v>2.0199567792680355</v>
      </c>
      <c r="N14" s="320">
        <f>(E14-'[2]1.10.2022'!E14)/'[2]1.10.2022'!E14*100</f>
        <v>2.0199453420913898</v>
      </c>
      <c r="O14" s="320">
        <f>(F14-'[2]1.10.2022'!F14)/'[2]1.10.2022'!F14*100</f>
        <v>2.020021333121333</v>
      </c>
      <c r="P14" s="320"/>
      <c r="Q14" s="320"/>
    </row>
    <row r="15" spans="1:17" ht="15" customHeight="1">
      <c r="A15" s="327">
        <v>40301401</v>
      </c>
      <c r="B15" s="328" t="s">
        <v>367</v>
      </c>
      <c r="C15" s="259">
        <f>ROUND('[2]1.10.2022'!C15*($I15/100+1),2)</f>
        <v>4479.44</v>
      </c>
      <c r="D15" s="259"/>
      <c r="E15" s="259">
        <f>ROUND('[2]1.10.2022'!E15*($J15/100+1),2)</f>
        <v>4436.55</v>
      </c>
      <c r="F15" s="259"/>
      <c r="G15" s="329"/>
      <c r="H15" s="259"/>
      <c r="I15" s="259">
        <f>$I$1</f>
        <v>2.02</v>
      </c>
      <c r="J15" s="259">
        <f>$I$1</f>
        <v>2.02</v>
      </c>
      <c r="K15" s="320"/>
      <c r="L15" s="320">
        <f>(C15-'[2]1.10.2022'!C15)/'[2]1.10.2022'!C15*100</f>
        <v>2.0199282582702183</v>
      </c>
      <c r="M15" s="320"/>
      <c r="N15" s="320">
        <f>(E15-'[2]1.10.2022'!E15)/'[2]1.10.2022'!E15*100</f>
        <v>2.0199093524286544</v>
      </c>
      <c r="O15" s="320"/>
      <c r="P15" s="320"/>
      <c r="Q15" s="320"/>
    </row>
    <row r="16" spans="1:17" ht="15" customHeight="1">
      <c r="A16" s="327">
        <v>40301102</v>
      </c>
      <c r="B16" s="328" t="s">
        <v>368</v>
      </c>
      <c r="C16" s="259">
        <f>ROUND('[2]1.10.2022'!C16*($I16/100+1),2)</f>
        <v>4132.86</v>
      </c>
      <c r="D16" s="259">
        <f>ROUND('[2]1.10.2022'!D16*($I16/100+1),2)</f>
        <v>4469.88</v>
      </c>
      <c r="E16" s="259">
        <f>ROUND('[2]1.10.2022'!E16*($J16/100+1),2)</f>
        <v>4093.31</v>
      </c>
      <c r="F16" s="259">
        <f>ROUND('[2]1.10.2022'!F16*($J16/100+1),2)</f>
        <v>4427.11</v>
      </c>
      <c r="G16" s="329"/>
      <c r="H16" s="259"/>
      <c r="I16" s="259">
        <f>$I$1</f>
        <v>2.02</v>
      </c>
      <c r="J16" s="259">
        <f>$I$1</f>
        <v>2.02</v>
      </c>
      <c r="K16" s="320"/>
      <c r="L16" s="320">
        <f>(C16-'[2]1.10.2022'!C16)/'[2]1.10.2022'!C16*100</f>
        <v>2.019980103825434</v>
      </c>
      <c r="M16" s="320">
        <f>(D16-'[2]1.10.2022'!D16)/'[2]1.10.2022'!D16*100</f>
        <v>2.019911534721937</v>
      </c>
      <c r="N16" s="320">
        <f>(E16-'[2]1.10.2022'!E16)/'[2]1.10.2022'!E16*100</f>
        <v>2.020058520634249</v>
      </c>
      <c r="O16" s="320">
        <f>(F16-'[2]1.10.2022'!F16)/'[2]1.10.2022'!F16*100</f>
        <v>2.020071668068531</v>
      </c>
      <c r="P16" s="320"/>
      <c r="Q16" s="320"/>
    </row>
    <row r="17" spans="1:17" ht="15" customHeight="1">
      <c r="A17" s="327">
        <v>40301202</v>
      </c>
      <c r="B17" s="328" t="s">
        <v>369</v>
      </c>
      <c r="C17" s="259">
        <f>ROUND('[2]1.10.2022'!C17*($I17/100+1),2)</f>
        <v>4469.88</v>
      </c>
      <c r="D17" s="259">
        <f>ROUND('[2]1.10.2022'!D17*($I17/100+1),2)</f>
        <v>4862.63</v>
      </c>
      <c r="E17" s="259">
        <f>ROUND('[2]1.10.2022'!E17*($J17/100+1),2)</f>
        <v>4427.11</v>
      </c>
      <c r="F17" s="259">
        <f>ROUND('[2]1.10.2022'!F17*($J17/100+1),2)</f>
        <v>4816.08</v>
      </c>
      <c r="G17" s="329"/>
      <c r="H17" s="259"/>
      <c r="I17" s="259">
        <f>$I$1</f>
        <v>2.02</v>
      </c>
      <c r="J17" s="259">
        <f>$I$1</f>
        <v>2.02</v>
      </c>
      <c r="K17" s="320"/>
      <c r="L17" s="320">
        <f>(C17-'[2]1.10.2022'!C17)/'[2]1.10.2022'!C17*100</f>
        <v>2.019911534721937</v>
      </c>
      <c r="M17" s="320">
        <f>(D17-'[2]1.10.2022'!D17)/'[2]1.10.2022'!D17*100</f>
        <v>2.019994335288003</v>
      </c>
      <c r="N17" s="320">
        <f>(E17-'[2]1.10.2022'!E17)/'[2]1.10.2022'!E17*100</f>
        <v>2.020071668068531</v>
      </c>
      <c r="O17" s="320">
        <f>(F17-'[2]1.10.2022'!F17)/'[2]1.10.2022'!F17*100</f>
        <v>2.0200308427527935</v>
      </c>
      <c r="P17" s="320"/>
      <c r="Q17" s="320"/>
    </row>
    <row r="18" spans="1:17" ht="15" customHeight="1">
      <c r="A18" s="327">
        <v>40301302</v>
      </c>
      <c r="B18" s="328" t="s">
        <v>370</v>
      </c>
      <c r="C18" s="259">
        <f>ROUND('[2]1.10.2022'!C18*($I18/100+1),2)</f>
        <v>4664.23</v>
      </c>
      <c r="D18" s="259">
        <f>ROUND('[2]1.10.2022'!D18*($I18/100+1),2)</f>
        <v>5064.64</v>
      </c>
      <c r="E18" s="259">
        <f>ROUND('[2]1.10.2022'!E18*($J18/100+1),2)</f>
        <v>4619.64</v>
      </c>
      <c r="F18" s="259">
        <f>ROUND('[2]1.10.2022'!F18*($J18/100+1),2)</f>
        <v>5016.19</v>
      </c>
      <c r="G18" s="329"/>
      <c r="H18" s="259"/>
      <c r="I18" s="259">
        <f>$I$1</f>
        <v>2.02</v>
      </c>
      <c r="J18" s="259">
        <f>$I$1</f>
        <v>2.02</v>
      </c>
      <c r="K18" s="320"/>
      <c r="L18" s="320">
        <f>(C18-'[2]1.10.2022'!C18)/'[2]1.10.2022'!C18*100</f>
        <v>2.0199567792680355</v>
      </c>
      <c r="M18" s="320">
        <f>(D18-'[2]1.10.2022'!D18)/'[2]1.10.2022'!D18*100</f>
        <v>2.019998549662004</v>
      </c>
      <c r="N18" s="320">
        <f>(E18-'[2]1.10.2022'!E18)/'[2]1.10.2022'!E18*100</f>
        <v>2.020021333121333</v>
      </c>
      <c r="O18" s="320">
        <f>(F18-'[2]1.10.2022'!F18)/'[2]1.10.2022'!F18*100</f>
        <v>2.0199842582781264</v>
      </c>
      <c r="P18" s="320"/>
      <c r="Q18" s="320"/>
    </row>
    <row r="19" spans="1:17" ht="15" customHeight="1">
      <c r="A19" s="327">
        <v>40301402</v>
      </c>
      <c r="B19" s="328" t="s">
        <v>371</v>
      </c>
      <c r="C19" s="259">
        <f>ROUND('[2]1.10.2022'!C19*($I19/100+1),2)</f>
        <v>4862.63</v>
      </c>
      <c r="D19" s="259"/>
      <c r="E19" s="259">
        <f>ROUND('[2]1.10.2022'!E19*($J19/100+1),2)</f>
        <v>4816.08</v>
      </c>
      <c r="F19" s="259"/>
      <c r="G19" s="329"/>
      <c r="H19" s="259"/>
      <c r="I19" s="259">
        <f>$I$1</f>
        <v>2.02</v>
      </c>
      <c r="J19" s="259">
        <f>$I$1</f>
        <v>2.02</v>
      </c>
      <c r="K19" s="320"/>
      <c r="L19" s="320">
        <f>(C19-'[2]1.10.2022'!C19)/'[2]1.10.2022'!C19*100</f>
        <v>2.019994335288003</v>
      </c>
      <c r="M19" s="320"/>
      <c r="N19" s="320">
        <f>(E19-'[2]1.10.2022'!E19)/'[2]1.10.2022'!E19*100</f>
        <v>2.0200308427527935</v>
      </c>
      <c r="O19" s="320"/>
      <c r="P19" s="320"/>
      <c r="Q19" s="320"/>
    </row>
    <row r="20" spans="1:17" ht="15" customHeight="1">
      <c r="A20" s="327">
        <v>40301502</v>
      </c>
      <c r="B20" s="328" t="s">
        <v>519</v>
      </c>
      <c r="C20" s="259">
        <f>ROUND('[2]1.10.2022'!C20*($I20/100+1),2)</f>
        <v>5069.31</v>
      </c>
      <c r="D20" s="259"/>
      <c r="E20" s="259">
        <f>ROUND('[2]1.10.2022'!E20*($J20/100+1),2)</f>
        <v>5020.79</v>
      </c>
      <c r="F20" s="259"/>
      <c r="G20" s="329"/>
      <c r="H20" s="259"/>
      <c r="I20" s="259">
        <f>$I$1</f>
        <v>2.02</v>
      </c>
      <c r="J20" s="259">
        <f>$I$1</f>
        <v>2.02</v>
      </c>
      <c r="K20" s="320"/>
      <c r="L20" s="320">
        <f>(C20-'[2]1.10.2022'!C20)/'[2]1.10.2022'!C20*100</f>
        <v>2.0199479164570473</v>
      </c>
      <c r="M20" s="320"/>
      <c r="N20" s="320">
        <f>(E20-'[2]1.10.2022'!E20)/'[2]1.10.2022'!E20*100</f>
        <v>2.0199618806107202</v>
      </c>
      <c r="O20" s="320"/>
      <c r="P20" s="320"/>
      <c r="Q20" s="320"/>
    </row>
    <row r="21" spans="1:17" s="335" customFormat="1" ht="15" customHeight="1">
      <c r="A21" s="330">
        <v>40301602</v>
      </c>
      <c r="B21" s="331" t="s">
        <v>520</v>
      </c>
      <c r="C21" s="259">
        <f>ROUND('[2]1.10.2022'!C21*($I21/100+1),2)</f>
        <v>5313.45</v>
      </c>
      <c r="D21" s="332"/>
      <c r="E21" s="259">
        <f>ROUND('[2]1.10.2022'!E21*($J21/100+1),2)</f>
        <v>5262.59</v>
      </c>
      <c r="F21" s="332"/>
      <c r="G21" s="333"/>
      <c r="H21" s="332"/>
      <c r="I21" s="332">
        <f>$I$1</f>
        <v>2.02</v>
      </c>
      <c r="J21" s="332">
        <f>$I$1</f>
        <v>2.02</v>
      </c>
      <c r="K21" s="334" t="s">
        <v>521</v>
      </c>
      <c r="L21" s="320">
        <f>(C21-'[2]1.10.2022'!C21)/'[2]1.10.2022'!C21*100</f>
        <v>2.020068199622138</v>
      </c>
      <c r="M21" s="320"/>
      <c r="N21" s="320">
        <f>(E21-'[2]1.10.2022'!E21)/'[2]1.10.2022'!E21*100</f>
        <v>2.0200101194364875</v>
      </c>
      <c r="O21" s="320"/>
      <c r="P21" s="320"/>
      <c r="Q21" s="320"/>
    </row>
    <row r="22" spans="1:17" ht="15" customHeight="1">
      <c r="A22" s="327">
        <v>40301103</v>
      </c>
      <c r="B22" s="336" t="s">
        <v>373</v>
      </c>
      <c r="C22" s="259">
        <f>ROUND('[2]1.10.2022'!C22*($I22/100+1),2)</f>
        <v>4132.86</v>
      </c>
      <c r="D22" s="259">
        <f>ROUND('[2]1.10.2022'!D22*($I22/100+1),2)</f>
        <v>4469.88</v>
      </c>
      <c r="E22" s="259">
        <f>ROUND('[2]1.10.2022'!E22*($J22/100+1),2)</f>
        <v>4093.31</v>
      </c>
      <c r="F22" s="259">
        <f>ROUND('[2]1.10.2022'!F22*($J22/100+1),2)</f>
        <v>4427.11</v>
      </c>
      <c r="G22" s="259"/>
      <c r="H22" s="259"/>
      <c r="I22" s="259">
        <f>$I$1</f>
        <v>2.02</v>
      </c>
      <c r="J22" s="259">
        <f>$I$1</f>
        <v>2.02</v>
      </c>
      <c r="K22" s="320"/>
      <c r="L22" s="320">
        <f>(C22-'[2]1.10.2022'!C22)/'[2]1.10.2022'!C22*100</f>
        <v>2.019980103825434</v>
      </c>
      <c r="M22" s="320">
        <f>(D22-'[2]1.10.2022'!D22)/'[2]1.10.2022'!D22*100</f>
        <v>2.019911534721937</v>
      </c>
      <c r="N22" s="320">
        <f>(E22-'[2]1.10.2022'!E22)/'[2]1.10.2022'!E22*100</f>
        <v>2.020058520634249</v>
      </c>
      <c r="O22" s="320">
        <f>(F22-'[2]1.10.2022'!F22)/'[2]1.10.2022'!F22*100</f>
        <v>2.020071668068531</v>
      </c>
      <c r="P22" s="320"/>
      <c r="Q22" s="320"/>
    </row>
    <row r="23" spans="1:17" ht="15" customHeight="1">
      <c r="A23" s="327">
        <v>40301203</v>
      </c>
      <c r="B23" s="336" t="s">
        <v>374</v>
      </c>
      <c r="C23" s="259">
        <f>ROUND('[2]1.10.2022'!C23*($I23/100+1),2)</f>
        <v>4296.81</v>
      </c>
      <c r="D23" s="259">
        <f>ROUND('[2]1.10.2022'!D23*($I23/100+1),2)</f>
        <v>4664.23</v>
      </c>
      <c r="E23" s="259">
        <f>ROUND('[2]1.10.2022'!E23*($J23/100+1),2)</f>
        <v>4255.66</v>
      </c>
      <c r="F23" s="259">
        <f>ROUND('[2]1.10.2022'!F23*($J23/100+1),2)</f>
        <v>4619.64</v>
      </c>
      <c r="G23" s="259"/>
      <c r="H23" s="259"/>
      <c r="I23" s="259">
        <f>$I$1</f>
        <v>2.02</v>
      </c>
      <c r="J23" s="259">
        <f>$I$1</f>
        <v>2.02</v>
      </c>
      <c r="K23" s="320"/>
      <c r="L23" s="320">
        <f>(C23-'[2]1.10.2022'!C23)/'[2]1.10.2022'!C23*100</f>
        <v>2.0200725117707177</v>
      </c>
      <c r="M23" s="320">
        <f>(D23-'[2]1.10.2022'!D23)/'[2]1.10.2022'!D23*100</f>
        <v>2.0199567792680355</v>
      </c>
      <c r="N23" s="320">
        <f>(E23-'[2]1.10.2022'!E23)/'[2]1.10.2022'!E23*100</f>
        <v>2.0199453420913898</v>
      </c>
      <c r="O23" s="320">
        <f>(F23-'[2]1.10.2022'!F23)/'[2]1.10.2022'!F23*100</f>
        <v>2.020021333121333</v>
      </c>
      <c r="P23" s="320"/>
      <c r="Q23" s="320"/>
    </row>
    <row r="24" spans="1:17" ht="15" customHeight="1">
      <c r="A24" s="327">
        <v>40301303</v>
      </c>
      <c r="B24" s="336" t="s">
        <v>375</v>
      </c>
      <c r="C24" s="259">
        <f>ROUND('[2]1.10.2022'!C24*($I24/100+1),2)</f>
        <v>4664.23</v>
      </c>
      <c r="D24" s="259">
        <f>ROUND('[2]1.10.2022'!D24*($I24/100+1),2)</f>
        <v>5064.64</v>
      </c>
      <c r="E24" s="259">
        <f>ROUND('[2]1.10.2022'!E24*($J24/100+1),2)</f>
        <v>4619.64</v>
      </c>
      <c r="F24" s="259">
        <f>ROUND('[2]1.10.2022'!F24*($J24/100+1),2)</f>
        <v>5016.19</v>
      </c>
      <c r="G24" s="259"/>
      <c r="H24" s="259"/>
      <c r="I24" s="259">
        <f>$I$1</f>
        <v>2.02</v>
      </c>
      <c r="J24" s="259">
        <f>$I$1</f>
        <v>2.02</v>
      </c>
      <c r="K24" s="320"/>
      <c r="L24" s="320">
        <f>(C24-'[2]1.10.2022'!C24)/'[2]1.10.2022'!C24*100</f>
        <v>2.0199567792680355</v>
      </c>
      <c r="M24" s="320">
        <f>(D24-'[2]1.10.2022'!D24)/'[2]1.10.2022'!D24*100</f>
        <v>2.019998549662004</v>
      </c>
      <c r="N24" s="320">
        <f>(E24-'[2]1.10.2022'!E24)/'[2]1.10.2022'!E24*100</f>
        <v>2.020021333121333</v>
      </c>
      <c r="O24" s="320">
        <f>(F24-'[2]1.10.2022'!F24)/'[2]1.10.2022'!F24*100</f>
        <v>2.0199842582781264</v>
      </c>
      <c r="P24" s="320"/>
      <c r="Q24" s="320"/>
    </row>
    <row r="25" spans="1:17" ht="15" customHeight="1">
      <c r="A25" s="327">
        <v>40301403</v>
      </c>
      <c r="B25" s="336" t="s">
        <v>376</v>
      </c>
      <c r="C25" s="259">
        <f>ROUND('[2]1.10.2022'!C25*($I25/100+1),2)</f>
        <v>4862.63</v>
      </c>
      <c r="D25" s="259">
        <f>ROUND('[2]1.10.2022'!D25*($I25/100+1),2)</f>
        <v>5298.36</v>
      </c>
      <c r="E25" s="259">
        <f>ROUND('[2]1.10.2022'!E25*($J25/100+1),2)</f>
        <v>4816.08</v>
      </c>
      <c r="F25" s="259">
        <f>ROUND('[2]1.10.2022'!F25*($J25/100+1),2)</f>
        <v>5247.67</v>
      </c>
      <c r="G25" s="259"/>
      <c r="H25" s="259"/>
      <c r="I25" s="259">
        <f>$I$1</f>
        <v>2.02</v>
      </c>
      <c r="J25" s="259">
        <f>$I$1</f>
        <v>2.02</v>
      </c>
      <c r="K25" s="320"/>
      <c r="L25" s="320">
        <f>(C25-'[2]1.10.2022'!C25)/'[2]1.10.2022'!C25*100</f>
        <v>2.019994335288003</v>
      </c>
      <c r="M25" s="320">
        <f>(D25-'[2]1.10.2022'!D25)/'[2]1.10.2022'!D25*100</f>
        <v>2.0200444791034835</v>
      </c>
      <c r="N25" s="320">
        <f>(E25-'[2]1.10.2022'!E25)/'[2]1.10.2022'!E25*100</f>
        <v>2.0200308427527935</v>
      </c>
      <c r="O25" s="320">
        <f>(F25-'[2]1.10.2022'!F25)/'[2]1.10.2022'!F25*100</f>
        <v>2.019919242112296</v>
      </c>
      <c r="P25" s="320"/>
      <c r="Q25" s="320"/>
    </row>
    <row r="26" spans="1:17" ht="15" customHeight="1">
      <c r="A26" s="327">
        <v>40302000</v>
      </c>
      <c r="B26" s="336" t="s">
        <v>224</v>
      </c>
      <c r="C26" s="337"/>
      <c r="D26" s="337"/>
      <c r="E26" s="259"/>
      <c r="F26" s="259"/>
      <c r="H26" s="259"/>
      <c r="I26" s="259"/>
      <c r="J26" s="259"/>
      <c r="K26" s="320"/>
      <c r="L26" s="320"/>
      <c r="M26" s="320"/>
      <c r="N26" s="320"/>
      <c r="O26" s="320"/>
      <c r="P26" s="320"/>
      <c r="Q26" s="320"/>
    </row>
    <row r="27" spans="1:17" ht="15" customHeight="1">
      <c r="A27" s="327">
        <v>40402000</v>
      </c>
      <c r="B27" s="336" t="s">
        <v>225</v>
      </c>
      <c r="C27" s="337"/>
      <c r="D27" s="337"/>
      <c r="E27" s="259"/>
      <c r="F27" s="259"/>
      <c r="H27" s="259"/>
      <c r="I27" s="259"/>
      <c r="J27" s="259"/>
      <c r="K27" s="320"/>
      <c r="L27" s="320"/>
      <c r="M27" s="320"/>
      <c r="N27" s="320"/>
      <c r="O27" s="320"/>
      <c r="P27" s="320"/>
      <c r="Q27" s="320"/>
    </row>
    <row r="28" spans="1:17" ht="15" customHeight="1">
      <c r="A28" s="327">
        <v>40401005</v>
      </c>
      <c r="B28" s="336" t="s">
        <v>226</v>
      </c>
      <c r="C28" s="259">
        <f>ROUND('[2]1.10.2022'!C28*($I28/100+1),2)</f>
        <v>4727.83</v>
      </c>
      <c r="D28" s="259">
        <f>ROUND('[2]1.10.2022'!D28*($I28/100+1),2)</f>
        <v>5896.61</v>
      </c>
      <c r="E28" s="259">
        <f>ROUND('[2]1.10.2022'!E28*($J28/100+1),2)</f>
        <v>4682.59</v>
      </c>
      <c r="F28" s="259">
        <f>ROUND('[2]1.10.2022'!F28*($J28/100+1),2)</f>
        <v>5840.18</v>
      </c>
      <c r="G28" s="329"/>
      <c r="H28" s="259"/>
      <c r="I28" s="259">
        <f>$I$1</f>
        <v>2.02</v>
      </c>
      <c r="J28" s="259">
        <f>$I$1</f>
        <v>2.02</v>
      </c>
      <c r="K28" s="320"/>
      <c r="L28" s="320">
        <f>(C28-'[2]1.10.2022'!C28)/'[2]1.10.2022'!C28*100</f>
        <v>2.019973156216141</v>
      </c>
      <c r="M28" s="320">
        <f>(D28-'[2]1.10.2022'!D28)/'[2]1.10.2022'!D28*100</f>
        <v>2.019945119777988</v>
      </c>
      <c r="N28" s="320">
        <f>(E28-'[2]1.10.2022'!E28)/'[2]1.10.2022'!E28*100</f>
        <v>2.0201007871682695</v>
      </c>
      <c r="O28" s="320">
        <f>(F28-'[2]1.10.2022'!F28)/'[2]1.10.2022'!F28*100</f>
        <v>2.020074975456549</v>
      </c>
      <c r="P28" s="320"/>
      <c r="Q28" s="320"/>
    </row>
    <row r="29" spans="1:17" ht="15" customHeight="1">
      <c r="A29" s="327">
        <v>40401011</v>
      </c>
      <c r="B29" s="336" t="s">
        <v>227</v>
      </c>
      <c r="C29" s="259">
        <f>ROUND('[2]1.10.2022'!C29*($I29/100+1),2)</f>
        <v>4727.83</v>
      </c>
      <c r="D29" s="259">
        <f>ROUND('[2]1.10.2022'!D29*($I29/100+1),2)</f>
        <v>5896.61</v>
      </c>
      <c r="E29" s="259">
        <f>ROUND('[2]1.10.2022'!E29*($J29/100+1),2)</f>
        <v>4682.59</v>
      </c>
      <c r="F29" s="259">
        <f>ROUND('[2]1.10.2022'!F29*($J29/100+1),2)</f>
        <v>5840.18</v>
      </c>
      <c r="G29" s="329"/>
      <c r="H29" s="259"/>
      <c r="I29" s="259">
        <f>$I$1</f>
        <v>2.02</v>
      </c>
      <c r="J29" s="259">
        <f>$I$1</f>
        <v>2.02</v>
      </c>
      <c r="K29" s="320"/>
      <c r="L29" s="320">
        <f>(C29-'[2]1.10.2022'!C29)/'[2]1.10.2022'!C29*100</f>
        <v>2.019973156216141</v>
      </c>
      <c r="M29" s="320">
        <f>(D29-'[2]1.10.2022'!D29)/'[2]1.10.2022'!D29*100</f>
        <v>2.019945119777988</v>
      </c>
      <c r="N29" s="320">
        <f>(E29-'[2]1.10.2022'!E29)/'[2]1.10.2022'!E29*100</f>
        <v>2.0201007871682695</v>
      </c>
      <c r="O29" s="320">
        <f>(F29-'[2]1.10.2022'!F29)/'[2]1.10.2022'!F29*100</f>
        <v>2.020074975456549</v>
      </c>
      <c r="P29" s="320"/>
      <c r="Q29" s="320"/>
    </row>
    <row r="30" spans="1:17" ht="15" customHeight="1">
      <c r="A30" s="327">
        <v>40304066</v>
      </c>
      <c r="B30" s="336" t="s">
        <v>522</v>
      </c>
      <c r="C30" s="259">
        <f>ROUND('[2]1.10.2022'!C30*($I30/100+1),2)</f>
        <v>3258.35</v>
      </c>
      <c r="D30" s="338"/>
      <c r="E30" s="259">
        <f>ROUND('[2]1.10.2022'!E30*($J30/100+1),2)</f>
        <v>3227.32</v>
      </c>
      <c r="F30" s="338"/>
      <c r="G30" s="329"/>
      <c r="H30" s="259"/>
      <c r="I30" s="259">
        <f>$I$1</f>
        <v>2.02</v>
      </c>
      <c r="J30" s="259">
        <f>$I$1</f>
        <v>2.02</v>
      </c>
      <c r="K30" s="320"/>
      <c r="L30" s="320">
        <f>(C30-'[2]1.10.2022'!C30)/'[2]1.10.2022'!C30*100</f>
        <v>2.0201450922560054</v>
      </c>
      <c r="M30" s="320"/>
      <c r="N30" s="320">
        <f>(E30-'[2]1.10.2022'!E30)/'[2]1.10.2022'!E30*100</f>
        <v>2.019965733288659</v>
      </c>
      <c r="O30" s="320"/>
      <c r="P30" s="320"/>
      <c r="Q30" s="320"/>
    </row>
    <row r="31" spans="1:17" ht="15" customHeight="1">
      <c r="A31" s="327">
        <v>40304067</v>
      </c>
      <c r="B31" s="336" t="s">
        <v>377</v>
      </c>
      <c r="C31" s="259"/>
      <c r="D31" s="338"/>
      <c r="E31" s="259"/>
      <c r="F31" s="338"/>
      <c r="H31" s="329"/>
      <c r="I31" s="259"/>
      <c r="J31" s="259"/>
      <c r="K31" s="320"/>
      <c r="L31" s="320"/>
      <c r="M31" s="320"/>
      <c r="N31" s="320"/>
      <c r="O31" s="320"/>
      <c r="P31" s="320"/>
      <c r="Q31" s="320"/>
    </row>
    <row r="32" spans="1:17" ht="15" customHeight="1">
      <c r="A32" s="327">
        <v>40404066</v>
      </c>
      <c r="B32" s="339" t="s">
        <v>347</v>
      </c>
      <c r="C32" s="259">
        <f>ROUND('[2]1.10.2022'!C32*($I32/100+1),2)</f>
        <v>4082.71</v>
      </c>
      <c r="D32" s="338"/>
      <c r="E32" s="259">
        <f>ROUND('[2]1.10.2022'!E32*($J32/100+1),2)</f>
        <v>4048.77</v>
      </c>
      <c r="F32" s="340"/>
      <c r="H32" s="329"/>
      <c r="I32" s="259">
        <f>$I$1</f>
        <v>2.02</v>
      </c>
      <c r="J32" s="259">
        <f>$I$1</f>
        <v>2.02</v>
      </c>
      <c r="K32" s="320"/>
      <c r="L32" s="320">
        <f>(C32-'[2]1.10.2022'!C32)/'[2]1.10.2022'!C32*100</f>
        <v>2.020055623995786</v>
      </c>
      <c r="M32" s="320"/>
      <c r="N32" s="320">
        <f>(E32-'[2]1.10.2022'!E32)/'[2]1.10.2022'!E32*100</f>
        <v>2.0201078465957787</v>
      </c>
      <c r="O32" s="320"/>
      <c r="P32" s="320"/>
      <c r="Q32" s="320"/>
    </row>
    <row r="33" spans="1:17" ht="15" customHeight="1">
      <c r="A33" s="327">
        <v>40404067</v>
      </c>
      <c r="B33" s="339" t="s">
        <v>348</v>
      </c>
      <c r="C33" s="259"/>
      <c r="D33" s="338"/>
      <c r="E33" s="259"/>
      <c r="H33" s="329"/>
      <c r="I33" s="259"/>
      <c r="J33" s="259"/>
      <c r="K33" s="320"/>
      <c r="L33" s="320"/>
      <c r="M33" s="320"/>
      <c r="N33" s="320"/>
      <c r="O33" s="320"/>
      <c r="P33" s="320"/>
      <c r="Q33" s="320"/>
    </row>
    <row r="34" spans="1:17" s="343" customFormat="1" ht="15" customHeight="1">
      <c r="A34" s="341">
        <v>40407066</v>
      </c>
      <c r="B34" s="339" t="s">
        <v>471</v>
      </c>
      <c r="C34" s="259">
        <f>ROUND('[2]1.10.2022'!C34*($I34/100+1),2)</f>
        <v>4082.71</v>
      </c>
      <c r="D34" s="338"/>
      <c r="E34" s="259">
        <f>ROUND('[2]1.10.2022'!E34*($J34/100+1),2)</f>
        <v>4048.77</v>
      </c>
      <c r="F34" s="342"/>
      <c r="G34" s="342"/>
      <c r="H34" s="329"/>
      <c r="I34" s="259">
        <f>$I$1</f>
        <v>2.02</v>
      </c>
      <c r="J34" s="259">
        <f>$I$1</f>
        <v>2.02</v>
      </c>
      <c r="K34" s="320"/>
      <c r="L34" s="320">
        <f>(C34-'[2]1.10.2022'!C34)/'[2]1.10.2022'!C34*100</f>
        <v>2.020055623995786</v>
      </c>
      <c r="M34" s="320"/>
      <c r="N34" s="320">
        <f>(E34-'[2]1.10.2022'!E34)/'[2]1.10.2022'!E34*100</f>
        <v>2.0201078465957787</v>
      </c>
      <c r="O34" s="320"/>
      <c r="P34" s="320"/>
      <c r="Q34" s="320"/>
    </row>
    <row r="35" spans="1:17" s="343" customFormat="1" ht="15" customHeight="1">
      <c r="A35" s="341">
        <v>40407067</v>
      </c>
      <c r="B35" s="339" t="s">
        <v>472</v>
      </c>
      <c r="C35" s="344"/>
      <c r="D35" s="345"/>
      <c r="E35" s="344"/>
      <c r="F35" s="342"/>
      <c r="G35" s="342"/>
      <c r="H35" s="329"/>
      <c r="I35" s="259"/>
      <c r="J35" s="259"/>
      <c r="K35" s="320"/>
      <c r="L35" s="320"/>
      <c r="M35" s="320"/>
      <c r="N35" s="320"/>
      <c r="O35" s="320"/>
      <c r="P35" s="320"/>
      <c r="Q35" s="320"/>
    </row>
    <row r="36" spans="1:17" ht="15" customHeight="1">
      <c r="A36" s="327">
        <v>40404076</v>
      </c>
      <c r="B36" s="339" t="s">
        <v>523</v>
      </c>
      <c r="C36" s="259">
        <f>ROUND('[2]1.10.2022'!C36*($I36/100+1),2)</f>
        <v>4082.71</v>
      </c>
      <c r="D36" s="338"/>
      <c r="E36" s="259">
        <f>ROUND('[2]1.10.2022'!E36*($J36/100+1),2)</f>
        <v>4048.77</v>
      </c>
      <c r="H36" s="329"/>
      <c r="I36" s="259">
        <f>$I$1</f>
        <v>2.02</v>
      </c>
      <c r="J36" s="259">
        <f>$I$1</f>
        <v>2.02</v>
      </c>
      <c r="K36" s="320"/>
      <c r="L36" s="320">
        <f>(C36-'[2]1.10.2022'!C36)/'[2]1.10.2022'!C36*100</f>
        <v>2.020055623995786</v>
      </c>
      <c r="M36" s="320"/>
      <c r="N36" s="320">
        <f>(E36-'[2]1.10.2022'!E36)/'[2]1.10.2022'!E36*100</f>
        <v>2.0201078465957787</v>
      </c>
      <c r="O36" s="320"/>
      <c r="P36" s="320"/>
      <c r="Q36" s="320"/>
    </row>
    <row r="37" spans="1:17" ht="15" customHeight="1">
      <c r="A37" s="327">
        <v>40404077</v>
      </c>
      <c r="B37" s="339" t="s">
        <v>456</v>
      </c>
      <c r="C37" s="259"/>
      <c r="D37" s="259"/>
      <c r="E37" s="259"/>
      <c r="H37" s="329"/>
      <c r="I37" s="259"/>
      <c r="J37" s="259"/>
      <c r="K37" s="320"/>
      <c r="L37" s="320"/>
      <c r="M37" s="320"/>
      <c r="N37" s="320"/>
      <c r="O37" s="320"/>
      <c r="P37" s="320"/>
      <c r="Q37" s="320"/>
    </row>
    <row r="38" spans="1:17" s="343" customFormat="1" ht="15" customHeight="1">
      <c r="A38" s="346">
        <v>40407076</v>
      </c>
      <c r="B38" s="339" t="s">
        <v>473</v>
      </c>
      <c r="C38" s="259">
        <f>ROUND('[2]1.10.2022'!C38*($I38/100+1),2)</f>
        <v>4082.71</v>
      </c>
      <c r="D38" s="338"/>
      <c r="E38" s="259">
        <f>ROUND('[2]1.10.2022'!E38*($J38/100+1),2)</f>
        <v>4048.77</v>
      </c>
      <c r="F38" s="342"/>
      <c r="G38" s="342"/>
      <c r="H38" s="329"/>
      <c r="I38" s="259">
        <f>$I$1</f>
        <v>2.02</v>
      </c>
      <c r="J38" s="259">
        <f>$I$1</f>
        <v>2.02</v>
      </c>
      <c r="K38" s="320"/>
      <c r="L38" s="320">
        <f>(C38-'[2]1.10.2022'!C38)/'[2]1.10.2022'!C38*100</f>
        <v>2.020055623995786</v>
      </c>
      <c r="M38" s="320"/>
      <c r="N38" s="320">
        <f>(E38-'[2]1.10.2022'!E38)/'[2]1.10.2022'!E38*100</f>
        <v>2.0201078465957787</v>
      </c>
      <c r="O38" s="320"/>
      <c r="P38" s="320"/>
      <c r="Q38" s="320"/>
    </row>
    <row r="39" spans="1:17" s="343" customFormat="1" ht="15" customHeight="1">
      <c r="A39" s="346">
        <v>40407077</v>
      </c>
      <c r="B39" s="336" t="s">
        <v>474</v>
      </c>
      <c r="C39" s="259"/>
      <c r="D39" s="259"/>
      <c r="E39" s="259"/>
      <c r="F39" s="239"/>
      <c r="G39" s="239"/>
      <c r="H39" s="329"/>
      <c r="I39" s="259"/>
      <c r="J39" s="259"/>
      <c r="K39" s="320"/>
      <c r="L39" s="320"/>
      <c r="M39" s="320"/>
      <c r="N39" s="320"/>
      <c r="O39" s="320"/>
      <c r="P39" s="320"/>
      <c r="Q39" s="320"/>
    </row>
    <row r="40" spans="1:17" ht="15" customHeight="1">
      <c r="A40" s="347"/>
      <c r="B40" s="348"/>
      <c r="H40" s="329"/>
      <c r="I40" s="259"/>
      <c r="J40" s="259"/>
      <c r="K40" s="320"/>
      <c r="L40" s="320"/>
      <c r="M40" s="320"/>
      <c r="N40" s="320"/>
      <c r="O40" s="320"/>
      <c r="P40" s="320"/>
      <c r="Q40" s="320"/>
    </row>
    <row r="41" spans="1:17" ht="15" customHeight="1">
      <c r="A41" s="347" t="s">
        <v>514</v>
      </c>
      <c r="B41" s="348"/>
      <c r="C41" s="349" t="s">
        <v>524</v>
      </c>
      <c r="H41" s="329"/>
      <c r="I41" s="259"/>
      <c r="J41" s="259"/>
      <c r="K41" s="320"/>
      <c r="L41" s="320"/>
      <c r="M41" s="320"/>
      <c r="N41" s="320"/>
      <c r="O41" s="320"/>
      <c r="P41" s="320"/>
      <c r="Q41" s="320"/>
    </row>
    <row r="42" spans="1:17" s="343" customFormat="1" ht="15" customHeight="1">
      <c r="A42" s="350" t="s">
        <v>525</v>
      </c>
      <c r="B42" s="348"/>
      <c r="C42" s="259">
        <f>ROUND('[2]1.10.2022'!C42*($I42/100+1),2)</f>
        <v>128.15</v>
      </c>
      <c r="D42" s="239"/>
      <c r="E42" s="239"/>
      <c r="F42" s="239"/>
      <c r="G42" s="239"/>
      <c r="H42" s="329"/>
      <c r="I42" s="259">
        <f>$I$1</f>
        <v>2.02</v>
      </c>
      <c r="J42" s="259">
        <f>$I$1</f>
        <v>2.02</v>
      </c>
      <c r="K42" s="320"/>
      <c r="L42" s="320">
        <f>(C42-'[2]1.10.2022'!C42)/'[2]1.10.2022'!C42*100</f>
        <v>2.022131995860207</v>
      </c>
      <c r="M42" s="320"/>
      <c r="N42" s="320"/>
      <c r="O42" s="320"/>
      <c r="P42" s="320"/>
      <c r="Q42" s="320"/>
    </row>
    <row r="43" spans="1:17" ht="15" customHeight="1">
      <c r="A43" s="347"/>
      <c r="B43" s="348"/>
      <c r="H43" s="329"/>
      <c r="I43" s="259"/>
      <c r="J43" s="259"/>
      <c r="K43" s="320"/>
      <c r="L43" s="320"/>
      <c r="M43" s="320"/>
      <c r="N43" s="320"/>
      <c r="O43" s="320"/>
      <c r="P43" s="320"/>
      <c r="Q43" s="320"/>
    </row>
    <row r="44" spans="1:17" ht="69">
      <c r="A44" s="351" t="s">
        <v>514</v>
      </c>
      <c r="B44" s="348"/>
      <c r="C44" s="352" t="s">
        <v>526</v>
      </c>
      <c r="D44" s="353"/>
      <c r="E44" s="352" t="s">
        <v>527</v>
      </c>
      <c r="I44" s="259"/>
      <c r="J44" s="259"/>
      <c r="K44" s="320"/>
      <c r="L44" s="320"/>
      <c r="M44" s="320"/>
      <c r="N44" s="320"/>
      <c r="O44" s="320"/>
      <c r="P44" s="320"/>
      <c r="Q44" s="320"/>
    </row>
    <row r="45" spans="1:17" ht="15" customHeight="1">
      <c r="A45" s="350" t="s">
        <v>528</v>
      </c>
      <c r="B45" s="354"/>
      <c r="C45" s="355"/>
      <c r="D45" s="355"/>
      <c r="E45" s="259">
        <f>ROUND('[2]1.10.2022'!E45*($J45/100+1),2)</f>
        <v>327.23</v>
      </c>
      <c r="F45" s="337"/>
      <c r="H45" s="329"/>
      <c r="I45" s="259"/>
      <c r="J45" s="259">
        <v>0</v>
      </c>
      <c r="K45" s="320"/>
      <c r="L45" s="320"/>
      <c r="M45" s="320"/>
      <c r="N45" s="320">
        <f>(E45-'[2]1.10.2022'!E45)/'[2]1.10.2022'!E45*100</f>
        <v>0</v>
      </c>
      <c r="O45" s="320"/>
      <c r="P45" s="320"/>
      <c r="Q45" s="320"/>
    </row>
    <row r="46" spans="1:17" ht="15" customHeight="1">
      <c r="A46" s="350" t="s">
        <v>529</v>
      </c>
      <c r="B46" s="354"/>
      <c r="C46" s="259">
        <f>ROUND('[2]1.10.2022'!C46*($I46/100+1),2)</f>
        <v>327.23</v>
      </c>
      <c r="D46" s="355"/>
      <c r="E46" s="259">
        <f>ROUND('[2]1.10.2022'!E46*($J46/100+1),2)</f>
        <v>654.49</v>
      </c>
      <c r="F46" s="337"/>
      <c r="I46" s="259">
        <v>0</v>
      </c>
      <c r="J46" s="259">
        <v>0</v>
      </c>
      <c r="K46" s="320"/>
      <c r="L46" s="320">
        <f>(C46-'[2]1.10.2022'!C46)/'[2]1.10.2022'!C46*100</f>
        <v>0</v>
      </c>
      <c r="M46" s="320"/>
      <c r="N46" s="320">
        <f>(E46-'[2]1.10.2022'!E46)/'[2]1.10.2022'!E46*100</f>
        <v>0</v>
      </c>
      <c r="O46" s="320"/>
      <c r="P46" s="320"/>
      <c r="Q46" s="320"/>
    </row>
    <row r="47" spans="1:17" ht="15" customHeight="1">
      <c r="A47" s="350" t="s">
        <v>530</v>
      </c>
      <c r="B47" s="354"/>
      <c r="C47" s="259">
        <f>ROUND('[2]1.10.2022'!C47*($I47/100+1),2)</f>
        <v>490.88</v>
      </c>
      <c r="D47" s="355"/>
      <c r="E47" s="259">
        <f>ROUND('[2]1.10.2022'!E47*($J47/100+1),2)</f>
        <v>818.09</v>
      </c>
      <c r="F47" s="337"/>
      <c r="I47" s="259">
        <v>0</v>
      </c>
      <c r="J47" s="259">
        <v>0</v>
      </c>
      <c r="K47" s="320"/>
      <c r="L47" s="320">
        <f>(C47-'[2]1.10.2022'!C47)/'[2]1.10.2022'!C47*100</f>
        <v>0</v>
      </c>
      <c r="M47" s="320"/>
      <c r="N47" s="320">
        <f>(E47-'[2]1.10.2022'!E47)/'[2]1.10.2022'!E47*100</f>
        <v>0</v>
      </c>
      <c r="O47" s="320"/>
      <c r="P47" s="320"/>
      <c r="Q47" s="320"/>
    </row>
    <row r="48" spans="1:17" ht="15" customHeight="1">
      <c r="A48" s="350" t="s">
        <v>531</v>
      </c>
      <c r="B48" s="354"/>
      <c r="C48" s="259">
        <f>ROUND('[2]1.10.2022'!C48*($I48/100+1),2)</f>
        <v>490.88</v>
      </c>
      <c r="D48" s="355"/>
      <c r="E48" s="259">
        <f>ROUND('[2]1.10.2022'!E48*($J48/100+1),2)</f>
        <v>1145.36</v>
      </c>
      <c r="F48" s="337"/>
      <c r="I48" s="259">
        <v>0</v>
      </c>
      <c r="J48" s="259">
        <v>0</v>
      </c>
      <c r="K48" s="320"/>
      <c r="L48" s="320">
        <f>(C48-'[2]1.10.2022'!C48)/'[2]1.10.2022'!C48*100</f>
        <v>0</v>
      </c>
      <c r="M48" s="320"/>
      <c r="N48" s="320">
        <f>(E48-'[2]1.10.2022'!E48)/'[2]1.10.2022'!E48*100</f>
        <v>0</v>
      </c>
      <c r="O48" s="320"/>
      <c r="P48" s="320"/>
      <c r="Q48" s="320"/>
    </row>
    <row r="49" spans="1:17" ht="15" customHeight="1">
      <c r="A49" s="350" t="s">
        <v>532</v>
      </c>
      <c r="B49" s="354"/>
      <c r="C49" s="259">
        <f>ROUND('[2]1.10.2022'!C49*($I49/100+1),2)</f>
        <v>654.49</v>
      </c>
      <c r="D49" s="355"/>
      <c r="E49" s="259">
        <f>ROUND('[2]1.10.2022'!E49*($J49/100+1),2)</f>
        <v>1472.61</v>
      </c>
      <c r="F49" s="337"/>
      <c r="I49" s="259">
        <v>0</v>
      </c>
      <c r="J49" s="259">
        <v>0</v>
      </c>
      <c r="K49" s="320"/>
      <c r="L49" s="320">
        <f>(C49-'[2]1.10.2022'!C49)/'[2]1.10.2022'!C49*100</f>
        <v>0</v>
      </c>
      <c r="M49" s="320"/>
      <c r="N49" s="320">
        <f>(E49-'[2]1.10.2022'!E49)/'[2]1.10.2022'!E49*100</f>
        <v>0</v>
      </c>
      <c r="O49" s="320"/>
      <c r="P49" s="320"/>
      <c r="Q49" s="320"/>
    </row>
    <row r="50" spans="1:17" ht="15" customHeight="1">
      <c r="A50" s="350" t="s">
        <v>533</v>
      </c>
      <c r="B50" s="354"/>
      <c r="C50" s="259">
        <f>ROUND('[2]1.10.2022'!C50*($I50/100+1),2)</f>
        <v>818.09</v>
      </c>
      <c r="D50" s="355"/>
      <c r="E50" s="259">
        <f>ROUND('[2]1.10.2022'!E50*($J50/100+1),2)</f>
        <v>1636.2</v>
      </c>
      <c r="F50" s="337"/>
      <c r="I50" s="259">
        <v>0</v>
      </c>
      <c r="J50" s="259">
        <v>0</v>
      </c>
      <c r="K50" s="320"/>
      <c r="L50" s="320">
        <f>(C50-'[2]1.10.2022'!C50)/'[2]1.10.2022'!C50*100</f>
        <v>0</v>
      </c>
      <c r="M50" s="320"/>
      <c r="N50" s="320">
        <f>(E50-'[2]1.10.2022'!E50)/'[2]1.10.2022'!E50*100</f>
        <v>0</v>
      </c>
      <c r="O50" s="320"/>
      <c r="P50" s="320"/>
      <c r="Q50" s="320"/>
    </row>
    <row r="51" spans="1:17" ht="15" customHeight="1">
      <c r="A51" s="350" t="s">
        <v>534</v>
      </c>
      <c r="B51" s="354"/>
      <c r="C51" s="259">
        <f>ROUND('[2]1.10.2022'!C51*($I51/100+1),2)</f>
        <v>981.72</v>
      </c>
      <c r="D51" s="355"/>
      <c r="E51" s="259">
        <f>ROUND('[2]1.10.2022'!E51*($J51/100+1),2)</f>
        <v>1799.84</v>
      </c>
      <c r="F51" s="337"/>
      <c r="I51" s="259">
        <v>0</v>
      </c>
      <c r="J51" s="259">
        <v>0</v>
      </c>
      <c r="K51" s="320"/>
      <c r="L51" s="320">
        <f>(C51-'[2]1.10.2022'!C51)/'[2]1.10.2022'!C51*100</f>
        <v>0</v>
      </c>
      <c r="M51" s="320"/>
      <c r="N51" s="320">
        <f>(E51-'[2]1.10.2022'!E51)/'[2]1.10.2022'!E51*100</f>
        <v>0</v>
      </c>
      <c r="O51" s="320"/>
      <c r="P51" s="320"/>
      <c r="Q51" s="320"/>
    </row>
    <row r="52" spans="1:17" ht="15" customHeight="1">
      <c r="A52" s="356"/>
      <c r="C52" s="357"/>
      <c r="D52" s="355"/>
      <c r="E52" s="259"/>
      <c r="I52" s="259"/>
      <c r="J52" s="259"/>
      <c r="K52" s="320"/>
      <c r="L52" s="320"/>
      <c r="M52" s="320"/>
      <c r="N52" s="320"/>
      <c r="O52" s="320"/>
      <c r="P52" s="320"/>
      <c r="Q52" s="320"/>
    </row>
    <row r="53" spans="1:17" ht="15" customHeight="1">
      <c r="A53" s="350" t="s">
        <v>535</v>
      </c>
      <c r="B53" s="354"/>
      <c r="C53" s="259">
        <f>ROUND('[2]1.10.2022'!C53*($I53/100+1),2)</f>
        <v>223.77</v>
      </c>
      <c r="D53" s="355"/>
      <c r="E53" s="259"/>
      <c r="H53" s="259"/>
      <c r="I53" s="259">
        <v>0</v>
      </c>
      <c r="J53" s="259"/>
      <c r="K53" s="320"/>
      <c r="L53" s="320">
        <f>(C53-'[2]1.10.2022'!C53)/'[2]1.10.2022'!C53*100</f>
        <v>0</v>
      </c>
      <c r="M53" s="320"/>
      <c r="N53" s="320"/>
      <c r="O53" s="320"/>
      <c r="P53" s="320"/>
      <c r="Q53" s="320"/>
    </row>
    <row r="54" spans="1:17" ht="15" customHeight="1">
      <c r="A54" s="350" t="s">
        <v>536</v>
      </c>
      <c r="B54" s="354"/>
      <c r="C54" s="259">
        <f>ROUND('[2]1.10.2022'!C54*($I54/100+1),2)</f>
        <v>335.62</v>
      </c>
      <c r="D54" s="355"/>
      <c r="E54" s="259"/>
      <c r="H54" s="259"/>
      <c r="I54" s="259">
        <v>0</v>
      </c>
      <c r="J54" s="259"/>
      <c r="K54" s="320"/>
      <c r="L54" s="320">
        <f>(C54-'[2]1.10.2022'!C54)/'[2]1.10.2022'!C54*100</f>
        <v>0</v>
      </c>
      <c r="M54" s="320"/>
      <c r="N54" s="320"/>
      <c r="O54" s="320"/>
      <c r="P54" s="320"/>
      <c r="Q54" s="320"/>
    </row>
    <row r="55" spans="1:17" ht="15" customHeight="1">
      <c r="A55" s="350" t="s">
        <v>537</v>
      </c>
      <c r="B55" s="354"/>
      <c r="C55" s="259">
        <f>ROUND('[2]1.10.2022'!C55*($I55/100+1),2)</f>
        <v>447.49</v>
      </c>
      <c r="D55" s="355"/>
      <c r="E55" s="259"/>
      <c r="H55" s="259"/>
      <c r="I55" s="259">
        <v>0</v>
      </c>
      <c r="J55" s="259"/>
      <c r="K55" s="320"/>
      <c r="L55" s="320">
        <f>(C55-'[2]1.10.2022'!C55)/'[2]1.10.2022'!C55*100</f>
        <v>0</v>
      </c>
      <c r="M55" s="320"/>
      <c r="N55" s="320"/>
      <c r="O55" s="320"/>
      <c r="P55" s="320"/>
      <c r="Q55" s="320"/>
    </row>
    <row r="56" spans="1:17" ht="15" customHeight="1">
      <c r="A56" s="350" t="s">
        <v>538</v>
      </c>
      <c r="B56" s="354"/>
      <c r="C56" s="259">
        <f>ROUND('[2]1.10.2022'!C56*($I56/100+1),2)</f>
        <v>559.36</v>
      </c>
      <c r="D56" s="355"/>
      <c r="E56" s="259"/>
      <c r="H56" s="259"/>
      <c r="I56" s="259">
        <v>0</v>
      </c>
      <c r="J56" s="259"/>
      <c r="K56" s="320"/>
      <c r="L56" s="320">
        <f>(C56-'[2]1.10.2022'!C56)/'[2]1.10.2022'!C56*100</f>
        <v>0</v>
      </c>
      <c r="M56" s="320"/>
      <c r="N56" s="320"/>
      <c r="O56" s="320"/>
      <c r="P56" s="320"/>
      <c r="Q56" s="320"/>
    </row>
    <row r="57" spans="1:17" ht="15" customHeight="1">
      <c r="A57" s="356"/>
      <c r="C57" s="10" t="s">
        <v>539</v>
      </c>
      <c r="I57" s="259"/>
      <c r="J57" s="259"/>
      <c r="K57" s="320"/>
      <c r="L57" s="320"/>
      <c r="M57" s="320"/>
      <c r="N57" s="320"/>
      <c r="O57" s="320"/>
      <c r="P57" s="320"/>
      <c r="Q57" s="320"/>
    </row>
    <row r="58" spans="1:17" ht="15" customHeight="1">
      <c r="A58" s="350" t="s">
        <v>540</v>
      </c>
      <c r="B58" s="354"/>
      <c r="C58" s="259">
        <f>ROUND('[2]1.10.2022'!C58*($I58/100+1),2)</f>
        <v>111.84</v>
      </c>
      <c r="H58" s="259"/>
      <c r="I58" s="259">
        <v>0</v>
      </c>
      <c r="J58" s="259"/>
      <c r="K58" s="320"/>
      <c r="L58" s="320">
        <f>(C58-'[2]1.10.2022'!C58)/'[2]1.10.2022'!C58*100</f>
        <v>0</v>
      </c>
      <c r="M58" s="320"/>
      <c r="N58" s="320"/>
      <c r="O58" s="320"/>
      <c r="P58" s="320"/>
      <c r="Q58" s="320"/>
    </row>
    <row r="59" spans="1:17" ht="15" customHeight="1">
      <c r="A59" s="347"/>
      <c r="B59" s="348"/>
      <c r="C59" s="329"/>
      <c r="I59" s="259"/>
      <c r="J59" s="259"/>
      <c r="K59" s="320"/>
      <c r="L59" s="320"/>
      <c r="M59" s="320"/>
      <c r="N59" s="320"/>
      <c r="O59" s="320"/>
      <c r="P59" s="320"/>
      <c r="Q59" s="320"/>
    </row>
    <row r="60" spans="1:17" ht="15" customHeight="1">
      <c r="A60" s="358" t="s">
        <v>541</v>
      </c>
      <c r="B60" s="359"/>
      <c r="I60" s="259"/>
      <c r="J60" s="259"/>
      <c r="K60" s="320"/>
      <c r="L60" s="320"/>
      <c r="M60" s="320"/>
      <c r="N60" s="320"/>
      <c r="O60" s="320"/>
      <c r="P60" s="320"/>
      <c r="Q60" s="320"/>
    </row>
    <row r="61" spans="1:17" ht="15" customHeight="1">
      <c r="A61" s="358" t="s">
        <v>542</v>
      </c>
      <c r="B61" s="348"/>
      <c r="C61" s="360" t="s">
        <v>2</v>
      </c>
      <c r="D61" s="360"/>
      <c r="E61" s="360" t="s">
        <v>3</v>
      </c>
      <c r="I61" s="259"/>
      <c r="J61" s="259"/>
      <c r="K61" s="320"/>
      <c r="L61" s="320"/>
      <c r="M61" s="320"/>
      <c r="N61" s="320"/>
      <c r="O61" s="320"/>
      <c r="P61" s="320"/>
      <c r="Q61" s="320"/>
    </row>
    <row r="62" spans="1:17" ht="15" customHeight="1">
      <c r="A62" s="327">
        <v>40304005</v>
      </c>
      <c r="B62" s="361" t="s">
        <v>378</v>
      </c>
      <c r="C62" s="259">
        <f>ROUND('[2]1.10.2022'!C62*($I62/100+1),2)</f>
        <v>3101.59</v>
      </c>
      <c r="D62" s="355"/>
      <c r="E62" s="259">
        <f>ROUND('[2]1.10.2022'!E62*($J62/100+1),2)</f>
        <v>3072.25</v>
      </c>
      <c r="H62" s="259"/>
      <c r="I62" s="259">
        <f>$I$1</f>
        <v>2.02</v>
      </c>
      <c r="J62" s="259">
        <f>$I$1</f>
        <v>2.02</v>
      </c>
      <c r="K62" s="320"/>
      <c r="L62" s="320">
        <f>(C62-'[2]1.10.2022'!C62)/'[2]1.10.2022'!C62*100</f>
        <v>2.019946187396809</v>
      </c>
      <c r="M62" s="320"/>
      <c r="N62" s="320">
        <f>(E62-'[2]1.10.2022'!E62)/'[2]1.10.2022'!E62*100</f>
        <v>2.0199772864628622</v>
      </c>
      <c r="O62" s="320"/>
      <c r="P62" s="320"/>
      <c r="Q62" s="320"/>
    </row>
    <row r="63" spans="1:17" ht="15" customHeight="1">
      <c r="A63" s="327">
        <v>40304007</v>
      </c>
      <c r="B63" s="361" t="s">
        <v>379</v>
      </c>
      <c r="C63" s="259">
        <f>ROUND('[2]1.10.2022'!C63*($I63/100+1),2)</f>
        <v>2891.53</v>
      </c>
      <c r="D63" s="355"/>
      <c r="E63" s="259">
        <f>ROUND('[2]1.10.2022'!E63*($J63/100+1),2)</f>
        <v>2864.2</v>
      </c>
      <c r="H63" s="259"/>
      <c r="I63" s="259">
        <f aca="true" t="shared" si="0" ref="I63:J100">$I$1</f>
        <v>2.02</v>
      </c>
      <c r="J63" s="259">
        <f t="shared" si="0"/>
        <v>2.02</v>
      </c>
      <c r="K63" s="320"/>
      <c r="L63" s="320">
        <f>(C63-'[2]1.10.2022'!C63)/'[2]1.10.2022'!C63*100</f>
        <v>2.019913346599489</v>
      </c>
      <c r="M63" s="320"/>
      <c r="N63" s="320">
        <f>(E63-'[2]1.10.2022'!E63)/'[2]1.10.2022'!E63*100</f>
        <v>2.019953766531672</v>
      </c>
      <c r="O63" s="320"/>
      <c r="P63" s="320"/>
      <c r="Q63" s="320"/>
    </row>
    <row r="64" spans="1:17" ht="15" customHeight="1">
      <c r="A64" s="327">
        <v>40304008</v>
      </c>
      <c r="B64" s="361" t="s">
        <v>380</v>
      </c>
      <c r="C64" s="259">
        <f>ROUND('[2]1.10.2022'!C64*($I64/100+1),2)</f>
        <v>2534.52</v>
      </c>
      <c r="D64" s="355"/>
      <c r="E64" s="259">
        <f>ROUND('[2]1.10.2022'!E64*($J64/100+1),2)</f>
        <v>2510.55</v>
      </c>
      <c r="H64" s="259"/>
      <c r="I64" s="259">
        <f t="shared" si="0"/>
        <v>2.02</v>
      </c>
      <c r="J64" s="259">
        <f t="shared" si="0"/>
        <v>2.02</v>
      </c>
      <c r="K64" s="320"/>
      <c r="L64" s="320">
        <f>(C64-'[2]1.10.2022'!C64)/'[2]1.10.2022'!C64*100</f>
        <v>2.0198523551526697</v>
      </c>
      <c r="M64" s="320"/>
      <c r="N64" s="320">
        <f>(E64-'[2]1.10.2022'!E64)/'[2]1.10.2022'!E64*100</f>
        <v>2.0200419368995965</v>
      </c>
      <c r="O64" s="320"/>
      <c r="P64" s="320"/>
      <c r="Q64" s="320"/>
    </row>
    <row r="65" spans="1:17" ht="15" customHeight="1">
      <c r="A65" s="327">
        <v>40304009</v>
      </c>
      <c r="B65" s="361" t="s">
        <v>381</v>
      </c>
      <c r="C65" s="259">
        <f>ROUND('[2]1.10.2022'!C65*($I65/100+1),2)</f>
        <v>2426.02</v>
      </c>
      <c r="D65" s="355"/>
      <c r="E65" s="259">
        <f>ROUND('[2]1.10.2022'!E65*($J65/100+1),2)</f>
        <v>2403.08</v>
      </c>
      <c r="H65" s="259"/>
      <c r="I65" s="259">
        <f t="shared" si="0"/>
        <v>2.02</v>
      </c>
      <c r="J65" s="259">
        <f t="shared" si="0"/>
        <v>2.02</v>
      </c>
      <c r="K65" s="320"/>
      <c r="L65" s="320">
        <f>(C65-'[2]1.10.2022'!C65)/'[2]1.10.2022'!C65*100</f>
        <v>2.0202020202020186</v>
      </c>
      <c r="M65" s="320"/>
      <c r="N65" s="320">
        <f>(E65-'[2]1.10.2022'!E65)/'[2]1.10.2022'!E65*100</f>
        <v>2.0199533007853927</v>
      </c>
      <c r="O65" s="320"/>
      <c r="P65" s="320"/>
      <c r="Q65" s="320"/>
    </row>
    <row r="66" spans="1:17" ht="15" customHeight="1">
      <c r="A66" s="327">
        <v>40304010</v>
      </c>
      <c r="B66" s="361" t="s">
        <v>382</v>
      </c>
      <c r="C66" s="259">
        <f>ROUND('[2]1.10.2022'!C66*($I66/100+1),2)</f>
        <v>2295.01</v>
      </c>
      <c r="D66" s="355"/>
      <c r="E66" s="259">
        <f>ROUND('[2]1.10.2022'!E66*($J66/100+1),2)</f>
        <v>2273.76</v>
      </c>
      <c r="H66" s="259"/>
      <c r="I66" s="259">
        <f t="shared" si="0"/>
        <v>2.02</v>
      </c>
      <c r="J66" s="259">
        <f t="shared" si="0"/>
        <v>2.02</v>
      </c>
      <c r="K66" s="320"/>
      <c r="L66" s="320">
        <f>(C66-'[2]1.10.2022'!C66)/'[2]1.10.2022'!C66*100</f>
        <v>2.01994158883698</v>
      </c>
      <c r="M66" s="320"/>
      <c r="N66" s="320">
        <f>(E66-'[2]1.10.2022'!E66)/'[2]1.10.2022'!E66*100</f>
        <v>2.0199754121162825</v>
      </c>
      <c r="O66" s="320"/>
      <c r="P66" s="320"/>
      <c r="Q66" s="320"/>
    </row>
    <row r="67" spans="1:17" ht="15" customHeight="1">
      <c r="A67" s="327">
        <v>40304012</v>
      </c>
      <c r="B67" s="361" t="s">
        <v>383</v>
      </c>
      <c r="C67" s="259">
        <f>ROUND('[2]1.10.2022'!C67*($I67/100+1),2)</f>
        <v>3123.13</v>
      </c>
      <c r="D67" s="355"/>
      <c r="E67" s="259">
        <f>ROUND('[2]1.10.2022'!E67*($J67/100+1),2)</f>
        <v>3093.59</v>
      </c>
      <c r="H67" s="259"/>
      <c r="I67" s="259">
        <f t="shared" si="0"/>
        <v>2.02</v>
      </c>
      <c r="J67" s="259">
        <f t="shared" si="0"/>
        <v>2.02</v>
      </c>
      <c r="K67" s="320"/>
      <c r="L67" s="320">
        <f>(C67-'[2]1.10.2022'!C67)/'[2]1.10.2022'!C67*100</f>
        <v>2.020063437309113</v>
      </c>
      <c r="M67" s="320"/>
      <c r="N67" s="320">
        <f>(E67-'[2]1.10.2022'!E67)/'[2]1.10.2022'!E67*100</f>
        <v>2.01989222844404</v>
      </c>
      <c r="O67" s="320"/>
      <c r="P67" s="320"/>
      <c r="Q67" s="320"/>
    </row>
    <row r="68" spans="1:17" ht="15" customHeight="1">
      <c r="A68" s="327">
        <v>40304014</v>
      </c>
      <c r="B68" s="361" t="s">
        <v>384</v>
      </c>
      <c r="C68" s="259">
        <f>ROUND('[2]1.10.2022'!C68*($I68/100+1),2)</f>
        <v>3013.93</v>
      </c>
      <c r="D68" s="355"/>
      <c r="E68" s="259">
        <f>ROUND('[2]1.10.2022'!E68*($J68/100+1),2)</f>
        <v>2985.41</v>
      </c>
      <c r="H68" s="259"/>
      <c r="I68" s="259">
        <f t="shared" si="0"/>
        <v>2.02</v>
      </c>
      <c r="J68" s="259">
        <f t="shared" si="0"/>
        <v>2.02</v>
      </c>
      <c r="K68" s="320"/>
      <c r="L68" s="320">
        <f>(C68-'[2]1.10.2022'!C68)/'[2]1.10.2022'!C68*100</f>
        <v>2.0201404755860146</v>
      </c>
      <c r="M68" s="320"/>
      <c r="N68" s="320">
        <f>(E68-'[2]1.10.2022'!E68)/'[2]1.10.2022'!E68*100</f>
        <v>2.0199569422137054</v>
      </c>
      <c r="O68" s="320"/>
      <c r="P68" s="320"/>
      <c r="Q68" s="320"/>
    </row>
    <row r="69" spans="1:17" ht="15" customHeight="1">
      <c r="A69" s="327">
        <v>40304013</v>
      </c>
      <c r="B69" s="361" t="s">
        <v>385</v>
      </c>
      <c r="C69" s="259">
        <f>ROUND('[2]1.10.2022'!C69*($I69/100+1),2)</f>
        <v>2917.31</v>
      </c>
      <c r="D69" s="355"/>
      <c r="E69" s="259">
        <f>ROUND('[2]1.10.2022'!E69*($J69/100+1),2)</f>
        <v>2889.69</v>
      </c>
      <c r="H69" s="259"/>
      <c r="I69" s="259">
        <f t="shared" si="0"/>
        <v>2.02</v>
      </c>
      <c r="J69" s="259">
        <f t="shared" si="0"/>
        <v>2.02</v>
      </c>
      <c r="K69" s="320"/>
      <c r="L69" s="320">
        <f>(C69-'[2]1.10.2022'!C69)/'[2]1.10.2022'!C69*100</f>
        <v>2.0198982357363837</v>
      </c>
      <c r="M69" s="320"/>
      <c r="N69" s="320">
        <f>(E69-'[2]1.10.2022'!E69)/'[2]1.10.2022'!E69*100</f>
        <v>2.0201449618177865</v>
      </c>
      <c r="O69" s="320"/>
      <c r="P69" s="320"/>
      <c r="Q69" s="320"/>
    </row>
    <row r="70" spans="1:17" ht="15" customHeight="1">
      <c r="A70" s="327">
        <v>40304015</v>
      </c>
      <c r="B70" s="361" t="s">
        <v>386</v>
      </c>
      <c r="C70" s="259">
        <f>ROUND('[2]1.10.2022'!C70*($I70/100+1),2)</f>
        <v>2871.82</v>
      </c>
      <c r="D70" s="355"/>
      <c r="E70" s="259">
        <f>ROUND('[2]1.10.2022'!E70*($J70/100+1),2)</f>
        <v>2844.68</v>
      </c>
      <c r="H70" s="259"/>
      <c r="I70" s="259">
        <f t="shared" si="0"/>
        <v>2.02</v>
      </c>
      <c r="J70" s="259">
        <f t="shared" si="0"/>
        <v>2.02</v>
      </c>
      <c r="K70" s="320"/>
      <c r="L70" s="320">
        <f>(C70-'[2]1.10.2022'!C70)/'[2]1.10.2022'!C70*100</f>
        <v>2.0199221303322292</v>
      </c>
      <c r="M70" s="320"/>
      <c r="N70" s="320">
        <f>(E70-'[2]1.10.2022'!E70)/'[2]1.10.2022'!E70*100</f>
        <v>2.0198252736375397</v>
      </c>
      <c r="O70" s="320"/>
      <c r="P70" s="320"/>
      <c r="Q70" s="320"/>
    </row>
    <row r="71" spans="1:17" ht="15" customHeight="1">
      <c r="A71" s="327">
        <v>40304016</v>
      </c>
      <c r="B71" s="361" t="s">
        <v>387</v>
      </c>
      <c r="C71" s="259">
        <f>ROUND('[2]1.10.2022'!C71*($I71/100+1),2)</f>
        <v>2752.38</v>
      </c>
      <c r="D71" s="355"/>
      <c r="E71" s="259">
        <f>ROUND('[2]1.10.2022'!E71*($J71/100+1),2)</f>
        <v>2726.4</v>
      </c>
      <c r="H71" s="259"/>
      <c r="I71" s="259">
        <f t="shared" si="0"/>
        <v>2.02</v>
      </c>
      <c r="J71" s="259">
        <f t="shared" si="0"/>
        <v>2.02</v>
      </c>
      <c r="K71" s="320"/>
      <c r="L71" s="320">
        <f>(C71-'[2]1.10.2022'!C71)/'[2]1.10.2022'!C71*100</f>
        <v>2.02010467478168</v>
      </c>
      <c r="M71" s="320"/>
      <c r="N71" s="320">
        <f>(E71-'[2]1.10.2022'!E71)/'[2]1.10.2022'!E71*100</f>
        <v>2.019892082831292</v>
      </c>
      <c r="O71" s="320"/>
      <c r="P71" s="320"/>
      <c r="Q71" s="320"/>
    </row>
    <row r="72" spans="1:17" ht="15" customHeight="1">
      <c r="A72" s="327">
        <v>40304017</v>
      </c>
      <c r="B72" s="361" t="s">
        <v>388</v>
      </c>
      <c r="C72" s="259">
        <f>ROUND('[2]1.10.2022'!C72*($I72/100+1),2)</f>
        <v>2405.68</v>
      </c>
      <c r="D72" s="355"/>
      <c r="E72" s="259">
        <f>ROUND('[2]1.10.2022'!E72*($J72/100+1),2)</f>
        <v>2383.18</v>
      </c>
      <c r="H72" s="259"/>
      <c r="I72" s="259">
        <f t="shared" si="0"/>
        <v>2.02</v>
      </c>
      <c r="J72" s="259">
        <f t="shared" si="0"/>
        <v>2.02</v>
      </c>
      <c r="K72" s="320"/>
      <c r="L72" s="320">
        <f>(C72-'[2]1.10.2022'!C72)/'[2]1.10.2022'!C72*100</f>
        <v>2.0198893153240878</v>
      </c>
      <c r="M72" s="320"/>
      <c r="N72" s="320">
        <f>(E72-'[2]1.10.2022'!E72)/'[2]1.10.2022'!E72*100</f>
        <v>2.020128510824107</v>
      </c>
      <c r="O72" s="320"/>
      <c r="P72" s="320"/>
      <c r="Q72" s="320"/>
    </row>
    <row r="73" spans="1:17" ht="15" customHeight="1">
      <c r="A73" s="327">
        <v>40304028</v>
      </c>
      <c r="B73" s="361" t="s">
        <v>389</v>
      </c>
      <c r="C73" s="259">
        <f>ROUND('[2]1.10.2022'!C73*($I73/100+1),2)</f>
        <v>3101.59</v>
      </c>
      <c r="D73" s="355"/>
      <c r="E73" s="259">
        <f>ROUND('[2]1.10.2022'!E73*($J73/100+1),2)</f>
        <v>3072.25</v>
      </c>
      <c r="H73" s="259"/>
      <c r="I73" s="259">
        <f t="shared" si="0"/>
        <v>2.02</v>
      </c>
      <c r="J73" s="259">
        <f t="shared" si="0"/>
        <v>2.02</v>
      </c>
      <c r="K73" s="320"/>
      <c r="L73" s="320">
        <f>(C73-'[2]1.10.2022'!C73)/'[2]1.10.2022'!C73*100</f>
        <v>2.019946187396809</v>
      </c>
      <c r="M73" s="320"/>
      <c r="N73" s="320">
        <f>(E73-'[2]1.10.2022'!E73)/'[2]1.10.2022'!E73*100</f>
        <v>2.0199772864628622</v>
      </c>
      <c r="O73" s="320"/>
      <c r="P73" s="320"/>
      <c r="Q73" s="320"/>
    </row>
    <row r="74" spans="1:17" ht="15" customHeight="1">
      <c r="A74" s="327">
        <v>40304030</v>
      </c>
      <c r="B74" s="361" t="s">
        <v>390</v>
      </c>
      <c r="C74" s="259">
        <f>ROUND('[2]1.10.2022'!C74*($I74/100+1),2)</f>
        <v>2887.34</v>
      </c>
      <c r="D74" s="355"/>
      <c r="E74" s="259">
        <f>ROUND('[2]1.10.2022'!E74*($J74/100+1),2)</f>
        <v>2860.05</v>
      </c>
      <c r="H74" s="259"/>
      <c r="I74" s="259">
        <f t="shared" si="0"/>
        <v>2.02</v>
      </c>
      <c r="J74" s="259">
        <f t="shared" si="0"/>
        <v>2.02</v>
      </c>
      <c r="K74" s="320"/>
      <c r="L74" s="320">
        <f>(C74-'[2]1.10.2022'!C74)/'[2]1.10.2022'!C74*100</f>
        <v>2.020019998798661</v>
      </c>
      <c r="M74" s="320"/>
      <c r="N74" s="320">
        <f>(E74-'[2]1.10.2022'!E74)/'[2]1.10.2022'!E74*100</f>
        <v>2.0200326743763015</v>
      </c>
      <c r="O74" s="320"/>
      <c r="P74" s="320"/>
      <c r="Q74" s="320"/>
    </row>
    <row r="75" spans="1:17" ht="15" customHeight="1">
      <c r="A75" s="327">
        <v>40304031</v>
      </c>
      <c r="B75" s="361" t="s">
        <v>391</v>
      </c>
      <c r="C75" s="259">
        <f>ROUND('[2]1.10.2022'!C75*($I75/100+1),2)</f>
        <v>2779.12</v>
      </c>
      <c r="D75" s="355"/>
      <c r="E75" s="259">
        <f>ROUND('[2]1.10.2022'!E75*($J75/100+1),2)</f>
        <v>2752.82</v>
      </c>
      <c r="H75" s="259"/>
      <c r="I75" s="259">
        <f t="shared" si="0"/>
        <v>2.02</v>
      </c>
      <c r="J75" s="259">
        <f t="shared" si="0"/>
        <v>2.02</v>
      </c>
      <c r="K75" s="320"/>
      <c r="L75" s="320">
        <f>(C75-'[2]1.10.2022'!C75)/'[2]1.10.2022'!C75*100</f>
        <v>2.0201241515515176</v>
      </c>
      <c r="M75" s="320"/>
      <c r="N75" s="320">
        <f>(E75-'[2]1.10.2022'!E75)/'[2]1.10.2022'!E75*100</f>
        <v>2.020153355248293</v>
      </c>
      <c r="O75" s="320"/>
      <c r="P75" s="320"/>
      <c r="Q75" s="320"/>
    </row>
    <row r="76" spans="1:17" ht="15" customHeight="1">
      <c r="A76" s="327">
        <v>40304098</v>
      </c>
      <c r="B76" s="361" t="s">
        <v>492</v>
      </c>
      <c r="C76" s="259">
        <f>ROUND('[2]1.10.2022'!C76*($I76/100+1),2)</f>
        <v>2269.85</v>
      </c>
      <c r="D76" s="355"/>
      <c r="E76" s="259">
        <f>ROUND('[2]1.10.2022'!E76*($J76/100+1),2)</f>
        <v>2249.01</v>
      </c>
      <c r="H76" s="259"/>
      <c r="I76" s="259">
        <f t="shared" si="0"/>
        <v>2.02</v>
      </c>
      <c r="J76" s="259">
        <f t="shared" si="0"/>
        <v>2.02</v>
      </c>
      <c r="K76" s="320"/>
      <c r="L76" s="320">
        <f>(C76-'[2]1.10.2022'!C76)/'[2]1.10.2022'!C76*100</f>
        <v>2.0198569829790896</v>
      </c>
      <c r="M76" s="320"/>
      <c r="N76" s="320">
        <f>(E76-'[2]1.10.2022'!E76)/'[2]1.10.2022'!E76*100</f>
        <v>2.0199775003629066</v>
      </c>
      <c r="O76" s="320"/>
      <c r="P76" s="320"/>
      <c r="Q76" s="320"/>
    </row>
    <row r="77" spans="1:17" ht="15" customHeight="1">
      <c r="A77" s="327">
        <v>40304033</v>
      </c>
      <c r="B77" s="361" t="s">
        <v>392</v>
      </c>
      <c r="C77" s="259">
        <f>ROUND('[2]1.10.2022'!C77*($I77/100+1),2)</f>
        <v>2166.9</v>
      </c>
      <c r="D77" s="355"/>
      <c r="E77" s="259">
        <f>ROUND('[2]1.10.2022'!E77*($J77/100+1),2)</f>
        <v>2147.84</v>
      </c>
      <c r="H77" s="259"/>
      <c r="I77" s="259">
        <f t="shared" si="0"/>
        <v>2.02</v>
      </c>
      <c r="J77" s="259">
        <f t="shared" si="0"/>
        <v>2.02</v>
      </c>
      <c r="K77" s="320"/>
      <c r="L77" s="320">
        <f>(C77-'[2]1.10.2022'!C77)/'[2]1.10.2022'!C77*100</f>
        <v>2.0197740112994396</v>
      </c>
      <c r="M77" s="320"/>
      <c r="N77" s="320">
        <f>(E77-'[2]1.10.2022'!E77)/'[2]1.10.2022'!E77*100</f>
        <v>2.0201300521063503</v>
      </c>
      <c r="O77" s="320"/>
      <c r="P77" s="320"/>
      <c r="Q77" s="320"/>
    </row>
    <row r="78" spans="1:17" ht="15" customHeight="1">
      <c r="A78" s="327">
        <v>40304020</v>
      </c>
      <c r="B78" s="361" t="s">
        <v>393</v>
      </c>
      <c r="C78" s="259">
        <f>ROUND('[2]1.10.2022'!C78*($I78/100+1),2)</f>
        <v>2491.49</v>
      </c>
      <c r="D78" s="355"/>
      <c r="E78" s="259">
        <f>ROUND('[2]1.10.2022'!E78*($J78/100+1),2)</f>
        <v>2467.91</v>
      </c>
      <c r="H78" s="259"/>
      <c r="I78" s="259">
        <f t="shared" si="0"/>
        <v>2.02</v>
      </c>
      <c r="J78" s="259">
        <f t="shared" si="0"/>
        <v>2.02</v>
      </c>
      <c r="K78" s="320"/>
      <c r="L78" s="320">
        <f>(C78-'[2]1.10.2022'!C78)/'[2]1.10.2022'!C78*100</f>
        <v>2.0199331739116166</v>
      </c>
      <c r="M78" s="320"/>
      <c r="N78" s="320">
        <f>(E78-'[2]1.10.2022'!E78)/'[2]1.10.2022'!E78*100</f>
        <v>2.0198011616130165</v>
      </c>
      <c r="O78" s="320"/>
      <c r="P78" s="320"/>
      <c r="Q78" s="320"/>
    </row>
    <row r="79" spans="1:17" ht="15" customHeight="1">
      <c r="A79" s="327">
        <v>40304024</v>
      </c>
      <c r="B79" s="361" t="s">
        <v>543</v>
      </c>
      <c r="C79" s="259">
        <f>ROUND('[2]1.10.2022'!C79*($I79/100+1),2)</f>
        <v>2491.49</v>
      </c>
      <c r="D79" s="355"/>
      <c r="E79" s="259">
        <f>ROUND('[2]1.10.2022'!E79*($J79/100+1),2)</f>
        <v>2467.91</v>
      </c>
      <c r="H79" s="259"/>
      <c r="I79" s="259">
        <f t="shared" si="0"/>
        <v>2.02</v>
      </c>
      <c r="J79" s="259">
        <f t="shared" si="0"/>
        <v>2.02</v>
      </c>
      <c r="K79" s="320"/>
      <c r="L79" s="320">
        <f>(C79-'[2]1.10.2022'!C79)/'[2]1.10.2022'!C79*100</f>
        <v>2.0199331739116166</v>
      </c>
      <c r="M79" s="320"/>
      <c r="N79" s="320">
        <f>(E79-'[2]1.10.2022'!E79)/'[2]1.10.2022'!E79*100</f>
        <v>2.0198011616130165</v>
      </c>
      <c r="O79" s="320"/>
      <c r="P79" s="320"/>
      <c r="Q79" s="320"/>
    </row>
    <row r="80" spans="1:17" ht="15" customHeight="1">
      <c r="A80" s="327">
        <v>40304021</v>
      </c>
      <c r="B80" s="361" t="s">
        <v>394</v>
      </c>
      <c r="C80" s="259">
        <f>ROUND('[2]1.10.2022'!C80*($I80/100+1),2)</f>
        <v>2439.66</v>
      </c>
      <c r="D80" s="355"/>
      <c r="E80" s="259">
        <f>ROUND('[2]1.10.2022'!E80*($J80/100+1),2)</f>
        <v>2416.54</v>
      </c>
      <c r="H80" s="259"/>
      <c r="I80" s="259">
        <f t="shared" si="0"/>
        <v>2.02</v>
      </c>
      <c r="J80" s="259">
        <f t="shared" si="0"/>
        <v>2.02</v>
      </c>
      <c r="K80" s="320"/>
      <c r="L80" s="320">
        <f>(C80-'[2]1.10.2022'!C80)/'[2]1.10.2022'!C80*100</f>
        <v>2.020197796223888</v>
      </c>
      <c r="M80" s="320"/>
      <c r="N80" s="320">
        <f>(E80-'[2]1.10.2022'!E80)/'[2]1.10.2022'!E80*100</f>
        <v>2.020103939308221</v>
      </c>
      <c r="O80" s="320"/>
      <c r="P80" s="320"/>
      <c r="Q80" s="320"/>
    </row>
    <row r="81" spans="1:17" ht="15" customHeight="1">
      <c r="A81" s="327">
        <v>40304022</v>
      </c>
      <c r="B81" s="361" t="s">
        <v>185</v>
      </c>
      <c r="C81" s="259">
        <f>ROUND('[2]1.10.2022'!C81*($I81/100+1),2)</f>
        <v>2102.82</v>
      </c>
      <c r="D81" s="355"/>
      <c r="E81" s="259">
        <f>ROUND('[2]1.10.2022'!E81*($J81/100+1),2)</f>
        <v>2085.58</v>
      </c>
      <c r="H81" s="259"/>
      <c r="I81" s="259">
        <f t="shared" si="0"/>
        <v>2.02</v>
      </c>
      <c r="J81" s="259">
        <f t="shared" si="0"/>
        <v>2.02</v>
      </c>
      <c r="K81" s="320"/>
      <c r="L81" s="320">
        <f>(C81-'[2]1.10.2022'!C81)/'[2]1.10.2022'!C81*100</f>
        <v>2.0202020202020363</v>
      </c>
      <c r="M81" s="320"/>
      <c r="N81" s="320">
        <f>(E81-'[2]1.10.2022'!E81)/'[2]1.10.2022'!E81*100</f>
        <v>2.01977214583058</v>
      </c>
      <c r="O81" s="320"/>
      <c r="P81" s="320"/>
      <c r="Q81" s="320"/>
    </row>
    <row r="82" spans="1:17" ht="15" customHeight="1">
      <c r="A82" s="327">
        <v>40307038</v>
      </c>
      <c r="B82" s="361" t="s">
        <v>395</v>
      </c>
      <c r="C82" s="259">
        <f>ROUND('[2]1.10.2022'!C82*($I82/100+1),2)</f>
        <v>3101.59</v>
      </c>
      <c r="D82" s="355"/>
      <c r="E82" s="259">
        <f>ROUND('[2]1.10.2022'!E82*($J82/100+1),2)</f>
        <v>3072.25</v>
      </c>
      <c r="H82" s="259"/>
      <c r="I82" s="259">
        <f t="shared" si="0"/>
        <v>2.02</v>
      </c>
      <c r="J82" s="259">
        <f t="shared" si="0"/>
        <v>2.02</v>
      </c>
      <c r="K82" s="320"/>
      <c r="L82" s="320">
        <f>(C82-'[2]1.10.2022'!C82)/'[2]1.10.2022'!C82*100</f>
        <v>2.019946187396809</v>
      </c>
      <c r="M82" s="320"/>
      <c r="N82" s="320">
        <f>(E82-'[2]1.10.2022'!E82)/'[2]1.10.2022'!E82*100</f>
        <v>2.0199772864628622</v>
      </c>
      <c r="O82" s="320"/>
      <c r="P82" s="320"/>
      <c r="Q82" s="320"/>
    </row>
    <row r="83" spans="1:17" ht="15" customHeight="1">
      <c r="A83" s="327">
        <v>40307040</v>
      </c>
      <c r="B83" s="361" t="s">
        <v>396</v>
      </c>
      <c r="C83" s="259">
        <f>ROUND('[2]1.10.2022'!C83*($I83/100+1),2)</f>
        <v>2891.53</v>
      </c>
      <c r="D83" s="355"/>
      <c r="E83" s="259">
        <f>ROUND('[2]1.10.2022'!E83*($J83/100+1),2)</f>
        <v>2864.2</v>
      </c>
      <c r="H83" s="259"/>
      <c r="I83" s="259">
        <f t="shared" si="0"/>
        <v>2.02</v>
      </c>
      <c r="J83" s="259">
        <f t="shared" si="0"/>
        <v>2.02</v>
      </c>
      <c r="K83" s="320"/>
      <c r="L83" s="320">
        <f>(C83-'[2]1.10.2022'!C83)/'[2]1.10.2022'!C83*100</f>
        <v>2.019913346599489</v>
      </c>
      <c r="M83" s="320"/>
      <c r="N83" s="320">
        <f>(E83-'[2]1.10.2022'!E83)/'[2]1.10.2022'!E83*100</f>
        <v>2.019953766531672</v>
      </c>
      <c r="O83" s="320"/>
      <c r="P83" s="320"/>
      <c r="Q83" s="320"/>
    </row>
    <row r="84" spans="1:17" ht="15" customHeight="1">
      <c r="A84" s="327">
        <v>40307041</v>
      </c>
      <c r="B84" s="361" t="s">
        <v>397</v>
      </c>
      <c r="C84" s="259">
        <f>ROUND('[2]1.10.2022'!C84*($I84/100+1),2)</f>
        <v>2534.52</v>
      </c>
      <c r="D84" s="355"/>
      <c r="E84" s="259">
        <f>ROUND('[2]1.10.2022'!E84*($J84/100+1),2)</f>
        <v>2510.55</v>
      </c>
      <c r="H84" s="259"/>
      <c r="I84" s="259">
        <f t="shared" si="0"/>
        <v>2.02</v>
      </c>
      <c r="J84" s="259">
        <f t="shared" si="0"/>
        <v>2.02</v>
      </c>
      <c r="K84" s="320"/>
      <c r="L84" s="320">
        <f>(C84-'[2]1.10.2022'!C84)/'[2]1.10.2022'!C84*100</f>
        <v>2.0198523551526697</v>
      </c>
      <c r="M84" s="320"/>
      <c r="N84" s="320">
        <f>(E84-'[2]1.10.2022'!E84)/'[2]1.10.2022'!E84*100</f>
        <v>2.0200419368995965</v>
      </c>
      <c r="O84" s="320"/>
      <c r="P84" s="320"/>
      <c r="Q84" s="320"/>
    </row>
    <row r="85" spans="1:17" ht="15" customHeight="1">
      <c r="A85" s="327">
        <v>40307042</v>
      </c>
      <c r="B85" s="361" t="s">
        <v>398</v>
      </c>
      <c r="C85" s="259">
        <f>ROUND('[2]1.10.2022'!C85*($I85/100+1),2)</f>
        <v>2426.02</v>
      </c>
      <c r="D85" s="355"/>
      <c r="E85" s="259">
        <f>ROUND('[2]1.10.2022'!E85*($J85/100+1),2)</f>
        <v>2403.08</v>
      </c>
      <c r="H85" s="259"/>
      <c r="I85" s="259">
        <f t="shared" si="0"/>
        <v>2.02</v>
      </c>
      <c r="J85" s="259">
        <f t="shared" si="0"/>
        <v>2.02</v>
      </c>
      <c r="K85" s="320"/>
      <c r="L85" s="320">
        <f>(C85-'[2]1.10.2022'!C85)/'[2]1.10.2022'!C85*100</f>
        <v>2.0202020202020186</v>
      </c>
      <c r="M85" s="320"/>
      <c r="N85" s="320">
        <f>(E85-'[2]1.10.2022'!E85)/'[2]1.10.2022'!E85*100</f>
        <v>2.0199533007853927</v>
      </c>
      <c r="O85" s="320"/>
      <c r="P85" s="320"/>
      <c r="Q85" s="320"/>
    </row>
    <row r="86" spans="1:17" ht="15" customHeight="1">
      <c r="A86" s="327">
        <v>40307043</v>
      </c>
      <c r="B86" s="361" t="s">
        <v>399</v>
      </c>
      <c r="C86" s="259">
        <f>ROUND('[2]1.10.2022'!C86*($I86/100+1),2)</f>
        <v>2295.01</v>
      </c>
      <c r="D86" s="355"/>
      <c r="E86" s="259">
        <f>ROUND('[2]1.10.2022'!E86*($J86/100+1),2)</f>
        <v>2273.76</v>
      </c>
      <c r="H86" s="259"/>
      <c r="I86" s="259">
        <f t="shared" si="0"/>
        <v>2.02</v>
      </c>
      <c r="J86" s="259">
        <f t="shared" si="0"/>
        <v>2.02</v>
      </c>
      <c r="K86" s="320"/>
      <c r="L86" s="320">
        <f>(C86-'[2]1.10.2022'!C86)/'[2]1.10.2022'!C86*100</f>
        <v>2.01994158883698</v>
      </c>
      <c r="M86" s="320"/>
      <c r="N86" s="320">
        <f>(E86-'[2]1.10.2022'!E86)/'[2]1.10.2022'!E86*100</f>
        <v>2.0199754121162825</v>
      </c>
      <c r="O86" s="320"/>
      <c r="P86" s="320"/>
      <c r="Q86" s="320"/>
    </row>
    <row r="87" spans="1:17" ht="15" customHeight="1">
      <c r="A87" s="327">
        <v>40307044</v>
      </c>
      <c r="B87" s="361" t="s">
        <v>400</v>
      </c>
      <c r="C87" s="259">
        <f>ROUND('[2]1.10.2022'!C87*($I87/100+1),2)</f>
        <v>3123.13</v>
      </c>
      <c r="D87" s="355"/>
      <c r="E87" s="259">
        <f>ROUND('[2]1.10.2022'!E87*($J87/100+1),2)</f>
        <v>3093.59</v>
      </c>
      <c r="H87" s="259"/>
      <c r="I87" s="259">
        <f t="shared" si="0"/>
        <v>2.02</v>
      </c>
      <c r="J87" s="259">
        <f t="shared" si="0"/>
        <v>2.02</v>
      </c>
      <c r="K87" s="320"/>
      <c r="L87" s="320">
        <f>(C87-'[2]1.10.2022'!C87)/'[2]1.10.2022'!C87*100</f>
        <v>2.020063437309113</v>
      </c>
      <c r="M87" s="320"/>
      <c r="N87" s="320">
        <f>(E87-'[2]1.10.2022'!E87)/'[2]1.10.2022'!E87*100</f>
        <v>2.01989222844404</v>
      </c>
      <c r="O87" s="320"/>
      <c r="P87" s="320"/>
      <c r="Q87" s="320"/>
    </row>
    <row r="88" spans="1:17" ht="15" customHeight="1">
      <c r="A88" s="327">
        <v>40307046</v>
      </c>
      <c r="B88" s="361" t="s">
        <v>401</v>
      </c>
      <c r="C88" s="259">
        <f>ROUND('[2]1.10.2022'!C88*($I88/100+1),2)</f>
        <v>3013.93</v>
      </c>
      <c r="D88" s="355"/>
      <c r="E88" s="259">
        <f>ROUND('[2]1.10.2022'!E88*($J88/100+1),2)</f>
        <v>2985.41</v>
      </c>
      <c r="H88" s="259"/>
      <c r="I88" s="259">
        <f t="shared" si="0"/>
        <v>2.02</v>
      </c>
      <c r="J88" s="259">
        <f t="shared" si="0"/>
        <v>2.02</v>
      </c>
      <c r="K88" s="320"/>
      <c r="L88" s="320">
        <f>(C88-'[2]1.10.2022'!C88)/'[2]1.10.2022'!C88*100</f>
        <v>2.0201404755860146</v>
      </c>
      <c r="M88" s="320"/>
      <c r="N88" s="320">
        <f>(E88-'[2]1.10.2022'!E88)/'[2]1.10.2022'!E88*100</f>
        <v>2.0199569422137054</v>
      </c>
      <c r="O88" s="320"/>
      <c r="P88" s="320"/>
      <c r="Q88" s="320"/>
    </row>
    <row r="89" spans="1:17" ht="15" customHeight="1">
      <c r="A89" s="327">
        <v>40307045</v>
      </c>
      <c r="B89" s="361" t="s">
        <v>402</v>
      </c>
      <c r="C89" s="259">
        <f>ROUND('[2]1.10.2022'!C89*($I89/100+1),2)</f>
        <v>2917.31</v>
      </c>
      <c r="D89" s="355"/>
      <c r="E89" s="259">
        <f>ROUND('[2]1.10.2022'!E89*($J89/100+1),2)</f>
        <v>2889.69</v>
      </c>
      <c r="H89" s="259"/>
      <c r="I89" s="259">
        <f t="shared" si="0"/>
        <v>2.02</v>
      </c>
      <c r="J89" s="259">
        <f t="shared" si="0"/>
        <v>2.02</v>
      </c>
      <c r="K89" s="320"/>
      <c r="L89" s="320">
        <f>(C89-'[2]1.10.2022'!C89)/'[2]1.10.2022'!C89*100</f>
        <v>2.0198982357363837</v>
      </c>
      <c r="M89" s="320"/>
      <c r="N89" s="320">
        <f>(E89-'[2]1.10.2022'!E89)/'[2]1.10.2022'!E89*100</f>
        <v>2.0201449618177865</v>
      </c>
      <c r="O89" s="320"/>
      <c r="P89" s="320"/>
      <c r="Q89" s="320"/>
    </row>
    <row r="90" spans="1:17" ht="15" customHeight="1">
      <c r="A90" s="327">
        <v>40307047</v>
      </c>
      <c r="B90" s="361" t="s">
        <v>403</v>
      </c>
      <c r="C90" s="259">
        <f>ROUND('[2]1.10.2022'!C90*($I90/100+1),2)</f>
        <v>2871.82</v>
      </c>
      <c r="D90" s="355"/>
      <c r="E90" s="259">
        <f>ROUND('[2]1.10.2022'!E90*($J90/100+1),2)</f>
        <v>2844.68</v>
      </c>
      <c r="H90" s="259"/>
      <c r="I90" s="259">
        <f t="shared" si="0"/>
        <v>2.02</v>
      </c>
      <c r="J90" s="259">
        <f t="shared" si="0"/>
        <v>2.02</v>
      </c>
      <c r="K90" s="320"/>
      <c r="L90" s="320">
        <f>(C90-'[2]1.10.2022'!C90)/'[2]1.10.2022'!C90*100</f>
        <v>2.0199221303322292</v>
      </c>
      <c r="M90" s="320"/>
      <c r="N90" s="320">
        <f>(E90-'[2]1.10.2022'!E90)/'[2]1.10.2022'!E90*100</f>
        <v>2.0198252736375397</v>
      </c>
      <c r="O90" s="320"/>
      <c r="P90" s="320"/>
      <c r="Q90" s="320"/>
    </row>
    <row r="91" spans="1:17" ht="15" customHeight="1">
      <c r="A91" s="327">
        <v>40307048</v>
      </c>
      <c r="B91" s="361" t="s">
        <v>404</v>
      </c>
      <c r="C91" s="259">
        <f>ROUND('[2]1.10.2022'!C91*($I91/100+1),2)</f>
        <v>2752.38</v>
      </c>
      <c r="D91" s="355"/>
      <c r="E91" s="259">
        <f>ROUND('[2]1.10.2022'!E91*($J91/100+1),2)</f>
        <v>2726.4</v>
      </c>
      <c r="H91" s="259"/>
      <c r="I91" s="259">
        <f t="shared" si="0"/>
        <v>2.02</v>
      </c>
      <c r="J91" s="259">
        <f t="shared" si="0"/>
        <v>2.02</v>
      </c>
      <c r="K91" s="320"/>
      <c r="L91" s="320">
        <f>(C91-'[2]1.10.2022'!C91)/'[2]1.10.2022'!C91*100</f>
        <v>2.02010467478168</v>
      </c>
      <c r="M91" s="320"/>
      <c r="N91" s="320">
        <f>(E91-'[2]1.10.2022'!E91)/'[2]1.10.2022'!E91*100</f>
        <v>2.019892082831292</v>
      </c>
      <c r="O91" s="320"/>
      <c r="P91" s="320"/>
      <c r="Q91" s="320"/>
    </row>
    <row r="92" spans="1:17" ht="15" customHeight="1">
      <c r="A92" s="327">
        <v>40307049</v>
      </c>
      <c r="B92" s="361" t="s">
        <v>405</v>
      </c>
      <c r="C92" s="259">
        <f>ROUND('[2]1.10.2022'!C92*($I92/100+1),2)</f>
        <v>2405.68</v>
      </c>
      <c r="D92" s="355"/>
      <c r="E92" s="259">
        <f>ROUND('[2]1.10.2022'!E92*($J92/100+1),2)</f>
        <v>2383.18</v>
      </c>
      <c r="H92" s="259"/>
      <c r="I92" s="259">
        <f t="shared" si="0"/>
        <v>2.02</v>
      </c>
      <c r="J92" s="259">
        <f t="shared" si="0"/>
        <v>2.02</v>
      </c>
      <c r="K92" s="320"/>
      <c r="L92" s="320">
        <f>(C92-'[2]1.10.2022'!C92)/'[2]1.10.2022'!C92*100</f>
        <v>2.0198893153240878</v>
      </c>
      <c r="M92" s="320"/>
      <c r="N92" s="320">
        <f>(E92-'[2]1.10.2022'!E92)/'[2]1.10.2022'!E92*100</f>
        <v>2.020128510824107</v>
      </c>
      <c r="O92" s="320"/>
      <c r="P92" s="320"/>
      <c r="Q92" s="320"/>
    </row>
    <row r="93" spans="1:17" ht="15" customHeight="1">
      <c r="A93" s="327">
        <v>40307054</v>
      </c>
      <c r="B93" s="361" t="s">
        <v>544</v>
      </c>
      <c r="C93" s="259">
        <f>ROUND('[2]1.10.2022'!C93*($I93/100+1),2)</f>
        <v>3101.59</v>
      </c>
      <c r="D93" s="355"/>
      <c r="E93" s="259">
        <f>ROUND('[2]1.10.2022'!E93*($J93/100+1),2)</f>
        <v>3072.25</v>
      </c>
      <c r="H93" s="259"/>
      <c r="I93" s="259">
        <f t="shared" si="0"/>
        <v>2.02</v>
      </c>
      <c r="J93" s="259">
        <f t="shared" si="0"/>
        <v>2.02</v>
      </c>
      <c r="K93" s="320"/>
      <c r="L93" s="320">
        <f>(C93-'[2]1.10.2022'!C93)/'[2]1.10.2022'!C93*100</f>
        <v>2.019946187396809</v>
      </c>
      <c r="M93" s="320"/>
      <c r="N93" s="320">
        <f>(E93-'[2]1.10.2022'!E93)/'[2]1.10.2022'!E93*100</f>
        <v>2.0199772864628622</v>
      </c>
      <c r="O93" s="320"/>
      <c r="P93" s="320"/>
      <c r="Q93" s="320"/>
    </row>
    <row r="94" spans="1:17" ht="15" customHeight="1">
      <c r="A94" s="327">
        <v>40307056</v>
      </c>
      <c r="B94" s="361" t="s">
        <v>407</v>
      </c>
      <c r="C94" s="259">
        <f>ROUND('[2]1.10.2022'!C94*($I94/100+1),2)</f>
        <v>2887.34</v>
      </c>
      <c r="D94" s="355"/>
      <c r="E94" s="259">
        <f>ROUND('[2]1.10.2022'!E94*($J94/100+1),2)</f>
        <v>2860.05</v>
      </c>
      <c r="H94" s="259"/>
      <c r="I94" s="259">
        <f t="shared" si="0"/>
        <v>2.02</v>
      </c>
      <c r="J94" s="259">
        <f t="shared" si="0"/>
        <v>2.02</v>
      </c>
      <c r="K94" s="320"/>
      <c r="L94" s="320">
        <f>(C94-'[2]1.10.2022'!C94)/'[2]1.10.2022'!C94*100</f>
        <v>2.020019998798661</v>
      </c>
      <c r="M94" s="320"/>
      <c r="N94" s="320">
        <f>(E94-'[2]1.10.2022'!E94)/'[2]1.10.2022'!E94*100</f>
        <v>2.0200326743763015</v>
      </c>
      <c r="O94" s="320"/>
      <c r="P94" s="320"/>
      <c r="Q94" s="320"/>
    </row>
    <row r="95" spans="1:17" ht="15" customHeight="1">
      <c r="A95" s="327">
        <v>40307057</v>
      </c>
      <c r="B95" s="361" t="s">
        <v>408</v>
      </c>
      <c r="C95" s="259">
        <f>ROUND('[2]1.10.2022'!C95*($I95/100+1),2)</f>
        <v>2779.12</v>
      </c>
      <c r="D95" s="355"/>
      <c r="E95" s="259">
        <f>ROUND('[2]1.10.2022'!E95*($J95/100+1),2)</f>
        <v>2752.82</v>
      </c>
      <c r="H95" s="259"/>
      <c r="I95" s="259">
        <f t="shared" si="0"/>
        <v>2.02</v>
      </c>
      <c r="J95" s="259">
        <f t="shared" si="0"/>
        <v>2.02</v>
      </c>
      <c r="K95" s="320"/>
      <c r="L95" s="320">
        <f>(C95-'[2]1.10.2022'!C95)/'[2]1.10.2022'!C95*100</f>
        <v>2.0201241515515176</v>
      </c>
      <c r="M95" s="320"/>
      <c r="N95" s="320">
        <f>(E95-'[2]1.10.2022'!E95)/'[2]1.10.2022'!E95*100</f>
        <v>2.020153355248293</v>
      </c>
      <c r="O95" s="320"/>
      <c r="P95" s="320"/>
      <c r="Q95" s="320"/>
    </row>
    <row r="96" spans="1:17" ht="15" customHeight="1">
      <c r="A96" s="327">
        <v>40307099</v>
      </c>
      <c r="B96" s="361" t="s">
        <v>494</v>
      </c>
      <c r="C96" s="259">
        <f>ROUND('[2]1.10.2022'!C96*($I96/100+1),2)</f>
        <v>2269.85</v>
      </c>
      <c r="D96" s="355"/>
      <c r="E96" s="259">
        <f>ROUND('[2]1.10.2022'!E96*($J96/100+1),2)</f>
        <v>2249.01</v>
      </c>
      <c r="H96" s="259"/>
      <c r="I96" s="259">
        <f t="shared" si="0"/>
        <v>2.02</v>
      </c>
      <c r="J96" s="259">
        <f t="shared" si="0"/>
        <v>2.02</v>
      </c>
      <c r="K96" s="320"/>
      <c r="L96" s="320">
        <f>(C96-'[2]1.10.2022'!C96)/'[2]1.10.2022'!C96*100</f>
        <v>2.0198569829790896</v>
      </c>
      <c r="M96" s="320"/>
      <c r="N96" s="320">
        <f>(E96-'[2]1.10.2022'!E96)/'[2]1.10.2022'!E96*100</f>
        <v>2.0199775003629066</v>
      </c>
      <c r="O96" s="320"/>
      <c r="P96" s="320"/>
      <c r="Q96" s="320"/>
    </row>
    <row r="97" spans="1:17" ht="15" customHeight="1">
      <c r="A97" s="327">
        <v>40307059</v>
      </c>
      <c r="B97" s="361" t="s">
        <v>409</v>
      </c>
      <c r="C97" s="259">
        <f>ROUND('[2]1.10.2022'!C97*($I97/100+1),2)</f>
        <v>2166.9</v>
      </c>
      <c r="D97" s="355"/>
      <c r="E97" s="259">
        <f>ROUND('[2]1.10.2022'!E97*($J97/100+1),2)</f>
        <v>2147.84</v>
      </c>
      <c r="H97" s="259"/>
      <c r="I97" s="259">
        <f t="shared" si="0"/>
        <v>2.02</v>
      </c>
      <c r="J97" s="259">
        <f t="shared" si="0"/>
        <v>2.02</v>
      </c>
      <c r="K97" s="320"/>
      <c r="L97" s="320">
        <f>(C97-'[2]1.10.2022'!C97)/'[2]1.10.2022'!C97*100</f>
        <v>2.0197740112994396</v>
      </c>
      <c r="M97" s="320"/>
      <c r="N97" s="320">
        <f>(E97-'[2]1.10.2022'!E97)/'[2]1.10.2022'!E97*100</f>
        <v>2.0201300521063503</v>
      </c>
      <c r="O97" s="320"/>
      <c r="P97" s="320"/>
      <c r="Q97" s="320"/>
    </row>
    <row r="98" spans="1:17" ht="15" customHeight="1">
      <c r="A98" s="327">
        <v>40307062</v>
      </c>
      <c r="B98" s="361" t="s">
        <v>410</v>
      </c>
      <c r="C98" s="259">
        <f>ROUND('[2]1.10.2022'!C98*($I98/100+1),2)</f>
        <v>2491.49</v>
      </c>
      <c r="D98" s="355"/>
      <c r="E98" s="259">
        <f>ROUND('[2]1.10.2022'!E98*($J98/100+1),2)</f>
        <v>2467.91</v>
      </c>
      <c r="H98" s="259"/>
      <c r="I98" s="259">
        <f t="shared" si="0"/>
        <v>2.02</v>
      </c>
      <c r="J98" s="259">
        <f t="shared" si="0"/>
        <v>2.02</v>
      </c>
      <c r="K98" s="320"/>
      <c r="L98" s="320">
        <f>(C98-'[2]1.10.2022'!C98)/'[2]1.10.2022'!C98*100</f>
        <v>2.0199331739116166</v>
      </c>
      <c r="M98" s="320"/>
      <c r="N98" s="320">
        <f>(E98-'[2]1.10.2022'!E98)/'[2]1.10.2022'!E98*100</f>
        <v>2.0198011616130165</v>
      </c>
      <c r="O98" s="320"/>
      <c r="P98" s="320"/>
      <c r="Q98" s="320"/>
    </row>
    <row r="99" spans="1:17" ht="15" customHeight="1">
      <c r="A99" s="327">
        <v>40307065</v>
      </c>
      <c r="B99" s="361" t="s">
        <v>545</v>
      </c>
      <c r="C99" s="259">
        <f>ROUND('[2]1.10.2022'!C99*($I99/100+1),2)</f>
        <v>2491.49</v>
      </c>
      <c r="D99" s="355"/>
      <c r="E99" s="259">
        <f>ROUND('[2]1.10.2022'!E99*($J99/100+1),2)</f>
        <v>2467.91</v>
      </c>
      <c r="H99" s="259"/>
      <c r="I99" s="259">
        <f t="shared" si="0"/>
        <v>2.02</v>
      </c>
      <c r="J99" s="259">
        <f t="shared" si="0"/>
        <v>2.02</v>
      </c>
      <c r="K99" s="320"/>
      <c r="L99" s="320">
        <f>(C99-'[2]1.10.2022'!C99)/'[2]1.10.2022'!C99*100</f>
        <v>2.0199331739116166</v>
      </c>
      <c r="M99" s="320"/>
      <c r="N99" s="320">
        <f>(E99-'[2]1.10.2022'!E99)/'[2]1.10.2022'!E99*100</f>
        <v>2.0198011616130165</v>
      </c>
      <c r="O99" s="320"/>
      <c r="P99" s="320"/>
      <c r="Q99" s="320"/>
    </row>
    <row r="100" spans="1:17" ht="15" customHeight="1">
      <c r="A100" s="327">
        <v>40307063</v>
      </c>
      <c r="B100" s="361" t="s">
        <v>411</v>
      </c>
      <c r="C100" s="259">
        <f>ROUND('[2]1.10.2022'!C100*($I100/100+1),2)</f>
        <v>2439.66</v>
      </c>
      <c r="D100" s="355"/>
      <c r="E100" s="259">
        <f>ROUND('[2]1.10.2022'!E100*($J100/100+1),2)</f>
        <v>2416.54</v>
      </c>
      <c r="H100" s="259"/>
      <c r="I100" s="259">
        <f t="shared" si="0"/>
        <v>2.02</v>
      </c>
      <c r="J100" s="259">
        <f t="shared" si="0"/>
        <v>2.02</v>
      </c>
      <c r="K100" s="320"/>
      <c r="L100" s="320">
        <f>(C100-'[2]1.10.2022'!C100)/'[2]1.10.2022'!C100*100</f>
        <v>2.020197796223888</v>
      </c>
      <c r="M100" s="320"/>
      <c r="N100" s="320">
        <f>(E100-'[2]1.10.2022'!E100)/'[2]1.10.2022'!E100*100</f>
        <v>2.020103939308221</v>
      </c>
      <c r="O100" s="320"/>
      <c r="P100" s="320"/>
      <c r="Q100" s="320"/>
    </row>
    <row r="101" spans="1:17" ht="15" customHeight="1">
      <c r="A101" s="327">
        <v>40307064</v>
      </c>
      <c r="B101" s="361" t="s">
        <v>186</v>
      </c>
      <c r="C101" s="259">
        <f>ROUND('[2]1.10.2022'!C101*($I101/100+1),2)</f>
        <v>2102.82</v>
      </c>
      <c r="D101" s="355"/>
      <c r="E101" s="259">
        <f>ROUND('[2]1.10.2022'!E101*($J101/100+1),2)</f>
        <v>2085.58</v>
      </c>
      <c r="H101" s="259"/>
      <c r="I101" s="259">
        <f>$I$1</f>
        <v>2.02</v>
      </c>
      <c r="J101" s="259">
        <f>$I$1</f>
        <v>2.02</v>
      </c>
      <c r="K101" s="320"/>
      <c r="L101" s="320">
        <f>(C101-'[2]1.10.2022'!C101)/'[2]1.10.2022'!C101*100</f>
        <v>2.0202020202020363</v>
      </c>
      <c r="M101" s="320"/>
      <c r="N101" s="320">
        <f>(E101-'[2]1.10.2022'!E101)/'[2]1.10.2022'!E101*100</f>
        <v>2.01977214583058</v>
      </c>
      <c r="O101" s="320"/>
      <c r="P101" s="320"/>
      <c r="Q101" s="320"/>
    </row>
    <row r="102" spans="1:17" ht="15" customHeight="1">
      <c r="A102" s="347"/>
      <c r="B102" s="362"/>
      <c r="C102" s="329"/>
      <c r="D102" s="329"/>
      <c r="E102" s="329"/>
      <c r="I102" s="259"/>
      <c r="J102" s="259"/>
      <c r="K102" s="320"/>
      <c r="L102" s="320"/>
      <c r="M102" s="320"/>
      <c r="N102" s="320"/>
      <c r="O102" s="320"/>
      <c r="P102" s="320"/>
      <c r="Q102" s="320"/>
    </row>
    <row r="103" spans="1:17" ht="15" customHeight="1">
      <c r="A103" s="358" t="s">
        <v>514</v>
      </c>
      <c r="B103" s="362"/>
      <c r="D103" s="329"/>
      <c r="E103" s="329"/>
      <c r="I103" s="259"/>
      <c r="J103" s="259"/>
      <c r="K103" s="320"/>
      <c r="L103" s="320"/>
      <c r="M103" s="320"/>
      <c r="N103" s="320"/>
      <c r="O103" s="320"/>
      <c r="P103" s="320"/>
      <c r="Q103" s="320"/>
    </row>
    <row r="104" spans="1:17" ht="15" customHeight="1">
      <c r="A104" s="347"/>
      <c r="B104" s="363" t="s">
        <v>546</v>
      </c>
      <c r="C104" s="364" t="s">
        <v>524</v>
      </c>
      <c r="D104" s="329"/>
      <c r="E104" s="329"/>
      <c r="I104" s="259"/>
      <c r="J104" s="259"/>
      <c r="K104" s="320"/>
      <c r="L104" s="320"/>
      <c r="M104" s="320"/>
      <c r="N104" s="320"/>
      <c r="O104" s="320"/>
      <c r="P104" s="320"/>
      <c r="Q104" s="320"/>
    </row>
    <row r="105" spans="1:17" ht="15" customHeight="1">
      <c r="A105" s="347"/>
      <c r="B105" s="361" t="s">
        <v>547</v>
      </c>
      <c r="C105" s="259">
        <f>ROUND('[2]1.10.2022'!C105*($I105/100+1),2)</f>
        <v>203.86</v>
      </c>
      <c r="D105" s="329"/>
      <c r="E105" s="329"/>
      <c r="H105" s="259"/>
      <c r="I105" s="259">
        <v>0</v>
      </c>
      <c r="J105" s="259">
        <v>0</v>
      </c>
      <c r="K105" s="320"/>
      <c r="L105" s="320">
        <f>(C105-'[2]1.10.2022'!C105)/'[2]1.10.2022'!C105*100</f>
        <v>0</v>
      </c>
      <c r="M105" s="320"/>
      <c r="N105" s="320"/>
      <c r="O105" s="320"/>
      <c r="P105" s="320"/>
      <c r="Q105" s="320"/>
    </row>
    <row r="106" spans="1:17" ht="15" customHeight="1">
      <c r="A106" s="347"/>
      <c r="B106" s="361" t="s">
        <v>548</v>
      </c>
      <c r="C106" s="259">
        <f>ROUND('[2]1.10.2022'!C106*($I106/100+1),2)</f>
        <v>407.69</v>
      </c>
      <c r="D106" s="329"/>
      <c r="E106" s="329"/>
      <c r="H106" s="259"/>
      <c r="I106" s="259">
        <v>0</v>
      </c>
      <c r="J106" s="259">
        <v>0</v>
      </c>
      <c r="K106" s="320"/>
      <c r="L106" s="320">
        <f>(C106-'[2]1.10.2022'!C106)/'[2]1.10.2022'!C106*100</f>
        <v>0</v>
      </c>
      <c r="M106" s="320"/>
      <c r="N106" s="320"/>
      <c r="O106" s="320"/>
      <c r="P106" s="320"/>
      <c r="Q106" s="320"/>
    </row>
    <row r="107" spans="1:17" ht="15" customHeight="1">
      <c r="A107" s="347"/>
      <c r="B107" s="361" t="s">
        <v>549</v>
      </c>
      <c r="C107" s="259">
        <f>ROUND('[2]1.10.2022'!C107*($I107/100+1),2)</f>
        <v>611.56</v>
      </c>
      <c r="D107" s="329"/>
      <c r="E107" s="329"/>
      <c r="H107" s="259"/>
      <c r="I107" s="259">
        <v>0</v>
      </c>
      <c r="J107" s="259">
        <v>0</v>
      </c>
      <c r="K107" s="320"/>
      <c r="L107" s="320">
        <f>(C107-'[2]1.10.2022'!C107)/'[2]1.10.2022'!C107*100</f>
        <v>0</v>
      </c>
      <c r="M107" s="320"/>
      <c r="N107" s="320"/>
      <c r="O107" s="320"/>
      <c r="P107" s="320"/>
      <c r="Q107" s="320"/>
    </row>
    <row r="108" spans="1:17" ht="15" customHeight="1">
      <c r="A108" s="347"/>
      <c r="B108" s="362"/>
      <c r="C108" s="364"/>
      <c r="D108" s="329"/>
      <c r="E108" s="329"/>
      <c r="I108" s="259"/>
      <c r="J108" s="259"/>
      <c r="K108" s="320"/>
      <c r="L108" s="320"/>
      <c r="M108" s="320"/>
      <c r="N108" s="320"/>
      <c r="O108" s="320"/>
      <c r="P108" s="320"/>
      <c r="Q108" s="320"/>
    </row>
    <row r="109" spans="1:17" ht="15" customHeight="1">
      <c r="A109" s="358" t="s">
        <v>550</v>
      </c>
      <c r="B109" s="362"/>
      <c r="C109" s="329"/>
      <c r="D109" s="329"/>
      <c r="E109" s="329"/>
      <c r="I109" s="259"/>
      <c r="J109" s="259"/>
      <c r="K109" s="320"/>
      <c r="L109" s="320"/>
      <c r="M109" s="320"/>
      <c r="N109" s="320"/>
      <c r="O109" s="320"/>
      <c r="P109" s="320"/>
      <c r="Q109" s="320"/>
    </row>
    <row r="110" spans="1:17" ht="15" customHeight="1">
      <c r="A110" s="358" t="s">
        <v>542</v>
      </c>
      <c r="B110" s="362"/>
      <c r="C110" s="360" t="s">
        <v>2</v>
      </c>
      <c r="D110" s="360"/>
      <c r="E110" s="360" t="s">
        <v>3</v>
      </c>
      <c r="I110" s="259"/>
      <c r="J110" s="259"/>
      <c r="K110" s="320"/>
      <c r="L110" s="320"/>
      <c r="M110" s="320"/>
      <c r="N110" s="320"/>
      <c r="O110" s="320"/>
      <c r="P110" s="320"/>
      <c r="Q110" s="320"/>
    </row>
    <row r="111" spans="1:17" ht="15" customHeight="1">
      <c r="A111" s="327">
        <v>40404017</v>
      </c>
      <c r="B111" s="361" t="s">
        <v>412</v>
      </c>
      <c r="C111" s="259">
        <f>ROUND('[2]1.10.2022'!C111*($I111/100+1),2)</f>
        <v>3256.61</v>
      </c>
      <c r="D111" s="355"/>
      <c r="E111" s="259">
        <f>ROUND('[2]1.10.2022'!E111*($J111/100+1),2)</f>
        <v>3225.85</v>
      </c>
      <c r="H111" s="259"/>
      <c r="I111" s="259">
        <f aca="true" t="shared" si="1" ref="I111:J140">$I$1</f>
        <v>2.02</v>
      </c>
      <c r="J111" s="259">
        <f t="shared" si="1"/>
        <v>2.02</v>
      </c>
      <c r="K111" s="320"/>
      <c r="L111" s="320">
        <f>(C111-'[2]1.10.2022'!C111)/'[2]1.10.2022'!C111*100</f>
        <v>2.0199678584518805</v>
      </c>
      <c r="M111" s="320"/>
      <c r="N111" s="320">
        <f>(E111-'[2]1.10.2022'!E111)/'[2]1.10.2022'!E111*100</f>
        <v>2.019936874996043</v>
      </c>
      <c r="O111" s="320"/>
      <c r="P111" s="320"/>
      <c r="Q111" s="320"/>
    </row>
    <row r="112" spans="1:17" ht="15" customHeight="1">
      <c r="A112" s="327">
        <v>40404018</v>
      </c>
      <c r="B112" s="361" t="s">
        <v>413</v>
      </c>
      <c r="C112" s="259">
        <f>ROUND('[2]1.10.2022'!C112*($I112/100+1),2)</f>
        <v>3108.02</v>
      </c>
      <c r="D112" s="355"/>
      <c r="E112" s="259">
        <f>ROUND('[2]1.10.2022'!E112*($J112/100+1),2)</f>
        <v>3078.58</v>
      </c>
      <c r="H112" s="259"/>
      <c r="I112" s="259">
        <f t="shared" si="1"/>
        <v>2.02</v>
      </c>
      <c r="J112" s="259">
        <f t="shared" si="1"/>
        <v>2.02</v>
      </c>
      <c r="K112" s="320"/>
      <c r="L112" s="320">
        <f>(C112-'[2]1.10.2022'!C112)/'[2]1.10.2022'!C112*100</f>
        <v>2.020036238544155</v>
      </c>
      <c r="M112" s="320"/>
      <c r="N112" s="320">
        <f>(E112-'[2]1.10.2022'!E112)/'[2]1.10.2022'!E112*100</f>
        <v>2.0201350733359416</v>
      </c>
      <c r="O112" s="320"/>
      <c r="P112" s="320"/>
      <c r="Q112" s="320"/>
    </row>
    <row r="113" spans="1:17" ht="15" customHeight="1">
      <c r="A113" s="327">
        <v>40404022</v>
      </c>
      <c r="B113" s="361" t="s">
        <v>381</v>
      </c>
      <c r="C113" s="259">
        <f>ROUND('[2]1.10.2022'!C113*($I113/100+1),2)</f>
        <v>2623.02</v>
      </c>
      <c r="D113" s="355"/>
      <c r="E113" s="259">
        <f>ROUND('[2]1.10.2022'!E113*($J113/100+1),2)</f>
        <v>2598.25</v>
      </c>
      <c r="H113" s="259"/>
      <c r="I113" s="259">
        <f t="shared" si="1"/>
        <v>2.02</v>
      </c>
      <c r="J113" s="259">
        <f t="shared" si="1"/>
        <v>2.02</v>
      </c>
      <c r="K113" s="320"/>
      <c r="L113" s="320">
        <f>(C113-'[2]1.10.2022'!C113)/'[2]1.10.2022'!C113*100</f>
        <v>2.0201627331704985</v>
      </c>
      <c r="M113" s="320"/>
      <c r="N113" s="320">
        <f>(E113-'[2]1.10.2022'!E113)/'[2]1.10.2022'!E113*100</f>
        <v>2.0201821894141596</v>
      </c>
      <c r="O113" s="320"/>
      <c r="P113" s="320"/>
      <c r="Q113" s="320"/>
    </row>
    <row r="114" spans="1:17" ht="15" customHeight="1">
      <c r="A114" s="327">
        <v>40404023</v>
      </c>
      <c r="B114" s="361" t="s">
        <v>414</v>
      </c>
      <c r="C114" s="259">
        <f>ROUND('[2]1.10.2022'!C114*($I114/100+1),2)</f>
        <v>2324.01</v>
      </c>
      <c r="D114" s="355"/>
      <c r="E114" s="259">
        <f>ROUND('[2]1.10.2022'!E114*($J114/100+1),2)</f>
        <v>2302.51</v>
      </c>
      <c r="H114" s="259"/>
      <c r="I114" s="259">
        <f t="shared" si="1"/>
        <v>2.02</v>
      </c>
      <c r="J114" s="259">
        <f t="shared" si="1"/>
        <v>2.02</v>
      </c>
      <c r="K114" s="320"/>
      <c r="L114" s="320">
        <f>(C114-'[2]1.10.2022'!C114)/'[2]1.10.2022'!C114*100</f>
        <v>2.0202020202020394</v>
      </c>
      <c r="M114" s="320"/>
      <c r="N114" s="320">
        <f>(E114-'[2]1.10.2022'!E114)/'[2]1.10.2022'!E114*100</f>
        <v>2.0200095705652013</v>
      </c>
      <c r="O114" s="320"/>
      <c r="P114" s="320"/>
      <c r="Q114" s="320"/>
    </row>
    <row r="115" spans="1:17" ht="15" customHeight="1">
      <c r="A115" s="327">
        <v>40407037</v>
      </c>
      <c r="B115" s="361" t="s">
        <v>415</v>
      </c>
      <c r="C115" s="259">
        <f>ROUND('[2]1.10.2022'!C115*($I115/100+1),2)</f>
        <v>3256.61</v>
      </c>
      <c r="D115" s="355"/>
      <c r="E115" s="259">
        <f>ROUND('[2]1.10.2022'!E115*($J115/100+1),2)</f>
        <v>3225.85</v>
      </c>
      <c r="H115" s="259"/>
      <c r="I115" s="259">
        <f t="shared" si="1"/>
        <v>2.02</v>
      </c>
      <c r="J115" s="259">
        <f t="shared" si="1"/>
        <v>2.02</v>
      </c>
      <c r="K115" s="320"/>
      <c r="L115" s="320">
        <f>(C115-'[2]1.10.2022'!C115)/'[2]1.10.2022'!C115*100</f>
        <v>2.0199678584518805</v>
      </c>
      <c r="M115" s="320"/>
      <c r="N115" s="320">
        <f>(E115-'[2]1.10.2022'!E115)/'[2]1.10.2022'!E115*100</f>
        <v>2.019936874996043</v>
      </c>
      <c r="O115" s="320"/>
      <c r="P115" s="320"/>
      <c r="Q115" s="320"/>
    </row>
    <row r="116" spans="1:17" ht="15" customHeight="1">
      <c r="A116" s="327">
        <v>40407039</v>
      </c>
      <c r="B116" s="361" t="s">
        <v>416</v>
      </c>
      <c r="C116" s="259">
        <f>ROUND('[2]1.10.2022'!C116*($I116/100+1),2)</f>
        <v>2822.08</v>
      </c>
      <c r="D116" s="355"/>
      <c r="E116" s="259">
        <f>ROUND('[2]1.10.2022'!E116*($J116/100+1),2)</f>
        <v>2795.39</v>
      </c>
      <c r="H116" s="259"/>
      <c r="I116" s="259">
        <f t="shared" si="1"/>
        <v>2.02</v>
      </c>
      <c r="J116" s="259">
        <f t="shared" si="1"/>
        <v>2.02</v>
      </c>
      <c r="K116" s="320"/>
      <c r="L116" s="320">
        <f>(C116-'[2]1.10.2022'!C116)/'[2]1.10.2022'!C116*100</f>
        <v>2.0200997758658126</v>
      </c>
      <c r="M116" s="320"/>
      <c r="N116" s="320">
        <f>(E116-'[2]1.10.2022'!E116)/'[2]1.10.2022'!E116*100</f>
        <v>2.020043503014551</v>
      </c>
      <c r="O116" s="320"/>
      <c r="P116" s="320"/>
      <c r="Q116" s="320"/>
    </row>
    <row r="117" spans="1:17" ht="15" customHeight="1">
      <c r="A117" s="327">
        <v>40407042</v>
      </c>
      <c r="B117" s="361" t="s">
        <v>417</v>
      </c>
      <c r="C117" s="259">
        <f>ROUND('[2]1.10.2022'!C117*($I117/100+1),2)</f>
        <v>2507.03</v>
      </c>
      <c r="D117" s="355"/>
      <c r="E117" s="259">
        <f>ROUND('[2]1.10.2022'!E117*($J117/100+1),2)</f>
        <v>2483.31</v>
      </c>
      <c r="H117" s="259"/>
      <c r="I117" s="259">
        <f t="shared" si="1"/>
        <v>2.02</v>
      </c>
      <c r="J117" s="259">
        <f t="shared" si="1"/>
        <v>2.02</v>
      </c>
      <c r="K117" s="320"/>
      <c r="L117" s="320">
        <f>(C117-'[2]1.10.2022'!C117)/'[2]1.10.2022'!C117*100</f>
        <v>2.020029380765785</v>
      </c>
      <c r="M117" s="320"/>
      <c r="N117" s="320">
        <f>(E117-'[2]1.10.2022'!E117)/'[2]1.10.2022'!E117*100</f>
        <v>2.020015282604948</v>
      </c>
      <c r="O117" s="320"/>
      <c r="P117" s="320"/>
      <c r="Q117" s="320"/>
    </row>
    <row r="118" spans="1:17" ht="15" customHeight="1">
      <c r="A118" s="327">
        <v>40407041</v>
      </c>
      <c r="B118" s="361" t="s">
        <v>418</v>
      </c>
      <c r="C118" s="259">
        <f>ROUND('[2]1.10.2022'!C118*($I118/100+1),2)</f>
        <v>2324.01</v>
      </c>
      <c r="D118" s="355"/>
      <c r="E118" s="259">
        <f>ROUND('[2]1.10.2022'!E118*($J118/100+1),2)</f>
        <v>2302.51</v>
      </c>
      <c r="H118" s="259"/>
      <c r="I118" s="259">
        <f t="shared" si="1"/>
        <v>2.02</v>
      </c>
      <c r="J118" s="259">
        <f t="shared" si="1"/>
        <v>2.02</v>
      </c>
      <c r="K118" s="320"/>
      <c r="L118" s="320">
        <f>(C118-'[2]1.10.2022'!C118)/'[2]1.10.2022'!C118*100</f>
        <v>2.0202020202020394</v>
      </c>
      <c r="M118" s="320"/>
      <c r="N118" s="320">
        <f>(E118-'[2]1.10.2022'!E118)/'[2]1.10.2022'!E118*100</f>
        <v>2.0200095705652013</v>
      </c>
      <c r="O118" s="320"/>
      <c r="P118" s="320"/>
      <c r="Q118" s="320"/>
    </row>
    <row r="119" spans="1:17" ht="15" customHeight="1">
      <c r="A119" s="347"/>
      <c r="B119" s="362"/>
      <c r="C119" s="329"/>
      <c r="D119" s="329"/>
      <c r="E119" s="329"/>
      <c r="I119" s="259"/>
      <c r="J119" s="259"/>
      <c r="K119" s="320"/>
      <c r="L119" s="320"/>
      <c r="M119" s="320"/>
      <c r="N119" s="320"/>
      <c r="O119" s="320"/>
      <c r="P119" s="320"/>
      <c r="Q119" s="320"/>
    </row>
    <row r="120" spans="1:17" ht="15" customHeight="1">
      <c r="A120" s="358" t="s">
        <v>514</v>
      </c>
      <c r="B120" s="362"/>
      <c r="C120" s="365" t="s">
        <v>516</v>
      </c>
      <c r="E120" s="329"/>
      <c r="I120" s="259"/>
      <c r="J120" s="259"/>
      <c r="K120" s="320"/>
      <c r="L120" s="320"/>
      <c r="M120" s="320"/>
      <c r="N120" s="320"/>
      <c r="O120" s="320"/>
      <c r="P120" s="320"/>
      <c r="Q120" s="320"/>
    </row>
    <row r="121" spans="1:17" ht="15" customHeight="1">
      <c r="A121" s="347"/>
      <c r="B121" s="366" t="s">
        <v>551</v>
      </c>
      <c r="C121" s="259">
        <f>ROUND('[2]1.10.2022'!C121*($I121/100+1),2)</f>
        <v>123.62</v>
      </c>
      <c r="E121" s="329"/>
      <c r="H121" s="259"/>
      <c r="I121" s="259">
        <f t="shared" si="1"/>
        <v>2.02</v>
      </c>
      <c r="J121" s="259">
        <f t="shared" si="1"/>
        <v>2.02</v>
      </c>
      <c r="K121" s="320"/>
      <c r="L121" s="320">
        <f>(C121-'[2]1.10.2022'!C121)/'[2]1.10.2022'!C121*100</f>
        <v>2.0219526285384193</v>
      </c>
      <c r="M121" s="320"/>
      <c r="N121" s="320"/>
      <c r="O121" s="320"/>
      <c r="P121" s="320"/>
      <c r="Q121" s="320"/>
    </row>
    <row r="122" spans="1:17" ht="15" customHeight="1">
      <c r="A122" s="347"/>
      <c r="B122" s="366" t="s">
        <v>552</v>
      </c>
      <c r="C122" s="259">
        <f>ROUND('[2]1.10.2022'!C122*($I122/100+1),2)</f>
        <v>41.28</v>
      </c>
      <c r="E122" s="329"/>
      <c r="H122" s="259"/>
      <c r="I122" s="259">
        <f t="shared" si="1"/>
        <v>2.02</v>
      </c>
      <c r="J122" s="259">
        <f t="shared" si="1"/>
        <v>2.02</v>
      </c>
      <c r="K122" s="320"/>
      <c r="L122" s="320">
        <f>(C122-'[2]1.10.2022'!C122)/'[2]1.10.2022'!C122*100</f>
        <v>2.0266930301532384</v>
      </c>
      <c r="M122" s="320"/>
      <c r="N122" s="320"/>
      <c r="O122" s="320"/>
      <c r="P122" s="320"/>
      <c r="Q122" s="320"/>
    </row>
    <row r="123" spans="1:17" ht="15" customHeight="1">
      <c r="A123" s="347"/>
      <c r="B123" s="366" t="s">
        <v>553</v>
      </c>
      <c r="C123" s="259">
        <f>ROUND('[2]1.10.2022'!C123*($I123/100+1),2)</f>
        <v>41.28</v>
      </c>
      <c r="E123" s="329"/>
      <c r="H123" s="259"/>
      <c r="I123" s="259">
        <f t="shared" si="1"/>
        <v>2.02</v>
      </c>
      <c r="J123" s="259">
        <f t="shared" si="1"/>
        <v>2.02</v>
      </c>
      <c r="K123" s="320"/>
      <c r="L123" s="320">
        <f>(C123-'[2]1.10.2022'!C123)/'[2]1.10.2022'!C123*100</f>
        <v>2.0266930301532384</v>
      </c>
      <c r="M123" s="320"/>
      <c r="N123" s="320"/>
      <c r="O123" s="320"/>
      <c r="P123" s="320"/>
      <c r="Q123" s="320"/>
    </row>
    <row r="124" spans="1:17" ht="15" customHeight="1">
      <c r="A124" s="347"/>
      <c r="B124" s="367"/>
      <c r="C124" s="259"/>
      <c r="E124" s="329"/>
      <c r="I124" s="259"/>
      <c r="J124" s="259"/>
      <c r="K124" s="320"/>
      <c r="L124" s="320"/>
      <c r="M124" s="320"/>
      <c r="N124" s="320"/>
      <c r="O124" s="320"/>
      <c r="P124" s="320"/>
      <c r="Q124" s="320"/>
    </row>
    <row r="125" spans="1:17" ht="15" customHeight="1">
      <c r="A125" s="347"/>
      <c r="B125" s="362"/>
      <c r="C125" s="329"/>
      <c r="D125" s="329"/>
      <c r="E125" s="329"/>
      <c r="I125" s="259"/>
      <c r="J125" s="259"/>
      <c r="K125" s="320"/>
      <c r="L125" s="320"/>
      <c r="M125" s="320"/>
      <c r="N125" s="320"/>
      <c r="O125" s="320"/>
      <c r="P125" s="320"/>
      <c r="Q125" s="320"/>
    </row>
    <row r="126" spans="1:17" ht="15" customHeight="1">
      <c r="A126" s="358" t="s">
        <v>554</v>
      </c>
      <c r="B126" s="362"/>
      <c r="C126" s="329"/>
      <c r="D126" s="329"/>
      <c r="E126" s="329"/>
      <c r="I126" s="259"/>
      <c r="J126" s="259"/>
      <c r="K126" s="320"/>
      <c r="L126" s="320"/>
      <c r="M126" s="320"/>
      <c r="N126" s="320"/>
      <c r="O126" s="320"/>
      <c r="P126" s="320"/>
      <c r="Q126" s="320"/>
    </row>
    <row r="127" spans="1:17" ht="15" customHeight="1">
      <c r="A127" s="358" t="s">
        <v>542</v>
      </c>
      <c r="B127" s="362"/>
      <c r="C127" s="360" t="s">
        <v>2</v>
      </c>
      <c r="D127" s="360"/>
      <c r="E127" s="360" t="s">
        <v>3</v>
      </c>
      <c r="I127" s="259"/>
      <c r="J127" s="259"/>
      <c r="K127" s="320"/>
      <c r="L127" s="320"/>
      <c r="M127" s="320"/>
      <c r="N127" s="320"/>
      <c r="O127" s="320"/>
      <c r="P127" s="320"/>
      <c r="Q127" s="320"/>
    </row>
    <row r="128" spans="1:17" ht="15" customHeight="1">
      <c r="A128" s="327">
        <v>40404024</v>
      </c>
      <c r="B128" s="361" t="s">
        <v>419</v>
      </c>
      <c r="C128" s="259">
        <f>ROUND('[2]1.10.2022'!C128*($I128/100+1),2)</f>
        <v>3256.61</v>
      </c>
      <c r="D128" s="355"/>
      <c r="E128" s="259">
        <f>ROUND('[2]1.10.2022'!E128*($J128/100+1),2)</f>
        <v>3225.85</v>
      </c>
      <c r="H128" s="259"/>
      <c r="I128" s="259">
        <f t="shared" si="1"/>
        <v>2.02</v>
      </c>
      <c r="J128" s="259">
        <f t="shared" si="1"/>
        <v>2.02</v>
      </c>
      <c r="K128" s="320"/>
      <c r="L128" s="320">
        <f>(C128-'[2]1.10.2022'!C128)/'[2]1.10.2022'!C128*100</f>
        <v>2.0199678584518805</v>
      </c>
      <c r="M128" s="320"/>
      <c r="N128" s="320">
        <f>(E128-'[2]1.10.2022'!E128)/'[2]1.10.2022'!E128*100</f>
        <v>2.019936874996043</v>
      </c>
      <c r="O128" s="320"/>
      <c r="P128" s="320"/>
      <c r="Q128" s="320"/>
    </row>
    <row r="129" spans="1:17" ht="15" customHeight="1">
      <c r="A129" s="327">
        <v>40404025</v>
      </c>
      <c r="B129" s="361" t="s">
        <v>420</v>
      </c>
      <c r="C129" s="259">
        <f>ROUND('[2]1.10.2022'!C129*($I129/100+1),2)</f>
        <v>3104.99</v>
      </c>
      <c r="D129" s="355"/>
      <c r="E129" s="259">
        <f>ROUND('[2]1.10.2022'!E129*($J129/100+1),2)</f>
        <v>3075.59</v>
      </c>
      <c r="H129" s="259"/>
      <c r="I129" s="259">
        <f t="shared" si="1"/>
        <v>2.02</v>
      </c>
      <c r="J129" s="259">
        <f t="shared" si="1"/>
        <v>2.02</v>
      </c>
      <c r="K129" s="320"/>
      <c r="L129" s="320">
        <f>(C129-'[2]1.10.2022'!C129)/'[2]1.10.2022'!C129*100</f>
        <v>2.0200360767666137</v>
      </c>
      <c r="M129" s="320"/>
      <c r="N129" s="320">
        <f>(E129-'[2]1.10.2022'!E129)/'[2]1.10.2022'!E129*100</f>
        <v>2.0201082034968803</v>
      </c>
      <c r="O129" s="320"/>
      <c r="P129" s="320"/>
      <c r="Q129" s="320"/>
    </row>
    <row r="130" spans="1:17" ht="15" customHeight="1">
      <c r="A130" s="327">
        <v>40404027</v>
      </c>
      <c r="B130" s="361" t="s">
        <v>189</v>
      </c>
      <c r="C130" s="259">
        <f>ROUND('[2]1.10.2022'!C130*($I130/100+1),2)</f>
        <v>2625.63</v>
      </c>
      <c r="D130" s="355"/>
      <c r="E130" s="259">
        <f>ROUND('[2]1.10.2022'!E130*($J130/100+1),2)</f>
        <v>2600.84</v>
      </c>
      <c r="H130" s="259"/>
      <c r="I130" s="259">
        <f t="shared" si="1"/>
        <v>2.02</v>
      </c>
      <c r="J130" s="259">
        <f t="shared" si="1"/>
        <v>2.02</v>
      </c>
      <c r="K130" s="320"/>
      <c r="L130" s="320">
        <f>(C130-'[2]1.10.2022'!C130)/'[2]1.10.2022'!C130*100</f>
        <v>2.0200960507297148</v>
      </c>
      <c r="M130" s="320"/>
      <c r="N130" s="320">
        <f>(E130-'[2]1.10.2022'!E130)/'[2]1.10.2022'!E130*100</f>
        <v>2.02013070049503</v>
      </c>
      <c r="O130" s="320"/>
      <c r="P130" s="320"/>
      <c r="Q130" s="320"/>
    </row>
    <row r="131" spans="1:17" ht="15" customHeight="1">
      <c r="A131" s="327">
        <v>40404026</v>
      </c>
      <c r="B131" s="361" t="s">
        <v>421</v>
      </c>
      <c r="C131" s="259">
        <f>ROUND('[2]1.10.2022'!C131*($I131/100+1),2)</f>
        <v>2325.15</v>
      </c>
      <c r="D131" s="355"/>
      <c r="E131" s="259">
        <f>ROUND('[2]1.10.2022'!E131*($J131/100+1),2)</f>
        <v>2303.63</v>
      </c>
      <c r="H131" s="259"/>
      <c r="I131" s="259">
        <f t="shared" si="1"/>
        <v>2.02</v>
      </c>
      <c r="J131" s="259">
        <f t="shared" si="1"/>
        <v>2.02</v>
      </c>
      <c r="K131" s="320"/>
      <c r="L131" s="320">
        <f>(C131-'[2]1.10.2022'!C131)/'[2]1.10.2022'!C131*100</f>
        <v>2.020086788263838</v>
      </c>
      <c r="M131" s="320"/>
      <c r="N131" s="320">
        <f>(E131-'[2]1.10.2022'!E131)/'[2]1.10.2022'!E131*100</f>
        <v>2.0199112496789278</v>
      </c>
      <c r="O131" s="320"/>
      <c r="P131" s="320"/>
      <c r="Q131" s="320"/>
    </row>
    <row r="132" spans="1:17" ht="15" customHeight="1">
      <c r="A132" s="327">
        <v>40407050</v>
      </c>
      <c r="B132" s="361" t="s">
        <v>415</v>
      </c>
      <c r="C132" s="259">
        <f>ROUND('[2]1.10.2022'!C132*($I132/100+1),2)</f>
        <v>3256.61</v>
      </c>
      <c r="D132" s="355"/>
      <c r="E132" s="259">
        <f>ROUND('[2]1.10.2022'!E132*($J132/100+1),2)</f>
        <v>3225.85</v>
      </c>
      <c r="H132" s="259"/>
      <c r="I132" s="259">
        <f t="shared" si="1"/>
        <v>2.02</v>
      </c>
      <c r="J132" s="259">
        <f t="shared" si="1"/>
        <v>2.02</v>
      </c>
      <c r="K132" s="320"/>
      <c r="L132" s="320">
        <f>(C132-'[2]1.10.2022'!C132)/'[2]1.10.2022'!C132*100</f>
        <v>2.0199678584518805</v>
      </c>
      <c r="M132" s="320"/>
      <c r="N132" s="320">
        <f>(E132-'[2]1.10.2022'!E132)/'[2]1.10.2022'!E132*100</f>
        <v>2.019936874996043</v>
      </c>
      <c r="O132" s="320"/>
      <c r="P132" s="320"/>
      <c r="Q132" s="320"/>
    </row>
    <row r="133" spans="1:17" ht="15" customHeight="1">
      <c r="A133" s="327">
        <v>40407051</v>
      </c>
      <c r="B133" s="361" t="s">
        <v>422</v>
      </c>
      <c r="C133" s="259">
        <f>ROUND('[2]1.10.2022'!C133*($I133/100+1),2)</f>
        <v>2822.08</v>
      </c>
      <c r="D133" s="355"/>
      <c r="E133" s="259">
        <f>ROUND('[2]1.10.2022'!E133*($J133/100+1),2)</f>
        <v>2795.39</v>
      </c>
      <c r="H133" s="259"/>
      <c r="I133" s="259">
        <f t="shared" si="1"/>
        <v>2.02</v>
      </c>
      <c r="J133" s="259">
        <f t="shared" si="1"/>
        <v>2.02</v>
      </c>
      <c r="K133" s="320"/>
      <c r="L133" s="320">
        <f>(C133-'[2]1.10.2022'!C133)/'[2]1.10.2022'!C133*100</f>
        <v>2.0200997758658126</v>
      </c>
      <c r="M133" s="320"/>
      <c r="N133" s="320">
        <f>(E133-'[2]1.10.2022'!E133)/'[2]1.10.2022'!E133*100</f>
        <v>2.020043503014551</v>
      </c>
      <c r="O133" s="320"/>
      <c r="P133" s="320"/>
      <c r="Q133" s="320"/>
    </row>
    <row r="134" spans="1:17" ht="15" customHeight="1">
      <c r="A134" s="327">
        <v>40407053</v>
      </c>
      <c r="B134" s="361" t="s">
        <v>417</v>
      </c>
      <c r="C134" s="259">
        <f>ROUND('[2]1.10.2022'!C134*($I134/100+1),2)</f>
        <v>2507.03</v>
      </c>
      <c r="D134" s="355"/>
      <c r="E134" s="259">
        <f>ROUND('[2]1.10.2022'!E134*($J134/100+1),2)</f>
        <v>2483.31</v>
      </c>
      <c r="H134" s="259"/>
      <c r="I134" s="259">
        <f t="shared" si="1"/>
        <v>2.02</v>
      </c>
      <c r="J134" s="259">
        <f t="shared" si="1"/>
        <v>2.02</v>
      </c>
      <c r="K134" s="320"/>
      <c r="L134" s="320">
        <f>(C134-'[2]1.10.2022'!C134)/'[2]1.10.2022'!C134*100</f>
        <v>2.020029380765785</v>
      </c>
      <c r="M134" s="320"/>
      <c r="N134" s="320">
        <f>(E134-'[2]1.10.2022'!E134)/'[2]1.10.2022'!E134*100</f>
        <v>2.020015282604948</v>
      </c>
      <c r="O134" s="320"/>
      <c r="P134" s="320"/>
      <c r="Q134" s="320"/>
    </row>
    <row r="135" spans="1:17" ht="15" customHeight="1">
      <c r="A135" s="327">
        <v>40407054</v>
      </c>
      <c r="B135" s="361" t="s">
        <v>423</v>
      </c>
      <c r="C135" s="259">
        <f>ROUND('[2]1.10.2022'!C135*($I135/100+1),2)</f>
        <v>2324.01</v>
      </c>
      <c r="D135" s="355"/>
      <c r="E135" s="259">
        <f>ROUND('[2]1.10.2022'!E135*($J135/100+1),2)</f>
        <v>2302.51</v>
      </c>
      <c r="H135" s="259"/>
      <c r="I135" s="259">
        <f t="shared" si="1"/>
        <v>2.02</v>
      </c>
      <c r="J135" s="259">
        <f t="shared" si="1"/>
        <v>2.02</v>
      </c>
      <c r="K135" s="320"/>
      <c r="L135" s="320">
        <f>(C135-'[2]1.10.2022'!C135)/'[2]1.10.2022'!C135*100</f>
        <v>2.0202020202020394</v>
      </c>
      <c r="M135" s="320"/>
      <c r="N135" s="320">
        <f>(E135-'[2]1.10.2022'!E135)/'[2]1.10.2022'!E135*100</f>
        <v>2.0200095705652013</v>
      </c>
      <c r="O135" s="320"/>
      <c r="P135" s="320"/>
      <c r="Q135" s="320"/>
    </row>
    <row r="136" spans="1:17" ht="15" customHeight="1">
      <c r="A136" s="347"/>
      <c r="B136" s="362"/>
      <c r="C136" s="329"/>
      <c r="D136" s="329"/>
      <c r="E136" s="329"/>
      <c r="I136" s="259"/>
      <c r="J136" s="259"/>
      <c r="K136" s="320"/>
      <c r="L136" s="320"/>
      <c r="M136" s="320"/>
      <c r="N136" s="320"/>
      <c r="O136" s="320"/>
      <c r="P136" s="320"/>
      <c r="Q136" s="320"/>
    </row>
    <row r="137" spans="1:17" ht="15" customHeight="1">
      <c r="A137" s="358" t="s">
        <v>514</v>
      </c>
      <c r="B137" s="362"/>
      <c r="C137" s="364" t="s">
        <v>516</v>
      </c>
      <c r="E137" s="329"/>
      <c r="I137" s="259"/>
      <c r="J137" s="259"/>
      <c r="K137" s="320"/>
      <c r="L137" s="320"/>
      <c r="M137" s="320"/>
      <c r="N137" s="320"/>
      <c r="O137" s="320"/>
      <c r="P137" s="320"/>
      <c r="Q137" s="320"/>
    </row>
    <row r="138" spans="1:17" ht="15" customHeight="1">
      <c r="A138" s="347"/>
      <c r="B138" s="361" t="s">
        <v>555</v>
      </c>
      <c r="C138" s="259">
        <f>ROUND('[2]1.10.2022'!C138*($I138/100+1),2)</f>
        <v>123.62</v>
      </c>
      <c r="E138" s="329"/>
      <c r="H138" s="259"/>
      <c r="I138" s="259">
        <f t="shared" si="1"/>
        <v>2.02</v>
      </c>
      <c r="J138" s="259">
        <f t="shared" si="1"/>
        <v>2.02</v>
      </c>
      <c r="K138" s="320"/>
      <c r="L138" s="320">
        <f>(C138-'[2]1.10.2022'!C138)/'[2]1.10.2022'!C138*100</f>
        <v>2.0219526285384193</v>
      </c>
      <c r="M138" s="320"/>
      <c r="N138" s="320"/>
      <c r="O138" s="320"/>
      <c r="P138" s="320"/>
      <c r="Q138" s="320"/>
    </row>
    <row r="139" spans="1:17" ht="15" customHeight="1">
      <c r="A139" s="347"/>
      <c r="B139" s="361" t="s">
        <v>556</v>
      </c>
      <c r="C139" s="259">
        <f>ROUND('[2]1.10.2022'!C139*($I139/100+1),2)</f>
        <v>41.28</v>
      </c>
      <c r="E139" s="329"/>
      <c r="H139" s="259"/>
      <c r="I139" s="259">
        <f t="shared" si="1"/>
        <v>2.02</v>
      </c>
      <c r="J139" s="259">
        <f t="shared" si="1"/>
        <v>2.02</v>
      </c>
      <c r="K139" s="320"/>
      <c r="L139" s="320">
        <f>(C139-'[2]1.10.2022'!C139)/'[2]1.10.2022'!C139*100</f>
        <v>2.0266930301532384</v>
      </c>
      <c r="M139" s="320"/>
      <c r="N139" s="320"/>
      <c r="O139" s="320"/>
      <c r="P139" s="320"/>
      <c r="Q139" s="320"/>
    </row>
    <row r="140" spans="1:17" ht="15" customHeight="1">
      <c r="A140" s="347"/>
      <c r="B140" s="361" t="s">
        <v>557</v>
      </c>
      <c r="C140" s="259">
        <f>ROUND('[2]1.10.2022'!C140*($I140/100+1),2)</f>
        <v>41.28</v>
      </c>
      <c r="E140" s="329"/>
      <c r="H140" s="259"/>
      <c r="I140" s="259">
        <f t="shared" si="1"/>
        <v>2.02</v>
      </c>
      <c r="J140" s="259">
        <f t="shared" si="1"/>
        <v>2.02</v>
      </c>
      <c r="K140" s="320"/>
      <c r="L140" s="320">
        <f>(C140-'[2]1.10.2022'!C140)/'[2]1.10.2022'!C140*100</f>
        <v>2.0266930301532384</v>
      </c>
      <c r="M140" s="320"/>
      <c r="N140" s="320"/>
      <c r="O140" s="320"/>
      <c r="P140" s="320"/>
      <c r="Q140" s="320"/>
    </row>
    <row r="141" spans="1:17" ht="15" customHeight="1">
      <c r="A141" s="347"/>
      <c r="B141" s="362"/>
      <c r="C141" s="329"/>
      <c r="D141" s="329"/>
      <c r="E141" s="329"/>
      <c r="I141" s="259"/>
      <c r="J141" s="259"/>
      <c r="K141" s="320"/>
      <c r="L141" s="320"/>
      <c r="M141" s="320"/>
      <c r="N141" s="320"/>
      <c r="O141" s="320"/>
      <c r="P141" s="320"/>
      <c r="Q141" s="320"/>
    </row>
    <row r="142" spans="1:17" ht="15" customHeight="1">
      <c r="A142" s="358" t="s">
        <v>558</v>
      </c>
      <c r="B142" s="362"/>
      <c r="C142" s="329"/>
      <c r="D142" s="329"/>
      <c r="E142" s="329"/>
      <c r="I142" s="259"/>
      <c r="J142" s="259"/>
      <c r="K142" s="320"/>
      <c r="L142" s="320"/>
      <c r="M142" s="320"/>
      <c r="N142" s="320"/>
      <c r="O142" s="320"/>
      <c r="P142" s="320"/>
      <c r="Q142" s="320"/>
    </row>
    <row r="143" spans="1:17" ht="15" customHeight="1">
      <c r="A143" s="358" t="s">
        <v>542</v>
      </c>
      <c r="B143" s="362"/>
      <c r="C143" s="368" t="s">
        <v>2</v>
      </c>
      <c r="D143" s="368"/>
      <c r="E143" s="368" t="s">
        <v>3</v>
      </c>
      <c r="I143" s="259"/>
      <c r="J143" s="259"/>
      <c r="K143" s="320"/>
      <c r="L143" s="320"/>
      <c r="M143" s="320"/>
      <c r="N143" s="320"/>
      <c r="O143" s="320"/>
      <c r="P143" s="320"/>
      <c r="Q143" s="320"/>
    </row>
    <row r="144" spans="1:17" ht="15" customHeight="1">
      <c r="A144" s="327">
        <v>40901024</v>
      </c>
      <c r="B144" s="361" t="s">
        <v>424</v>
      </c>
      <c r="C144" s="259">
        <f>ROUND('[2]1.10.2022'!C144*($I144/100+1),2)</f>
        <v>4243.08</v>
      </c>
      <c r="D144" s="355"/>
      <c r="E144" s="259">
        <f>ROUND('[2]1.10.2022'!E144*($J144/100+1),2)</f>
        <v>4202.42</v>
      </c>
      <c r="H144" s="369"/>
      <c r="I144" s="259">
        <f aca="true" t="shared" si="2" ref="I144:J146">$I$1</f>
        <v>2.02</v>
      </c>
      <c r="J144" s="259">
        <f t="shared" si="2"/>
        <v>2.02</v>
      </c>
      <c r="K144" s="320"/>
      <c r="L144" s="320">
        <f>(C144-'[2]1.10.2022'!C144)/'[2]1.10.2022'!C144*100</f>
        <v>2.0199227231087775</v>
      </c>
      <c r="M144" s="320"/>
      <c r="N144" s="320">
        <f>(E144-'[2]1.10.2022'!E144)/'[2]1.10.2022'!E144*100</f>
        <v>2.020047533386257</v>
      </c>
      <c r="O144" s="320"/>
      <c r="P144" s="320"/>
      <c r="Q144" s="320"/>
    </row>
    <row r="145" spans="1:17" ht="15" customHeight="1">
      <c r="A145" s="327">
        <v>40003001</v>
      </c>
      <c r="B145" s="361" t="s">
        <v>425</v>
      </c>
      <c r="C145" s="259">
        <f>ROUND('[2]1.10.2022'!C145*($I145/100+1),2)</f>
        <v>4029.31</v>
      </c>
      <c r="D145" s="355"/>
      <c r="E145" s="259">
        <f>ROUND('[2]1.10.2022'!E145*($J145/100+1),2)</f>
        <v>3990.59</v>
      </c>
      <c r="H145" s="259"/>
      <c r="I145" s="259">
        <f t="shared" si="2"/>
        <v>2.02</v>
      </c>
      <c r="J145" s="259">
        <f t="shared" si="2"/>
        <v>2.02</v>
      </c>
      <c r="K145" s="320"/>
      <c r="L145" s="320">
        <f>(C145-'[2]1.10.2022'!C145)/'[2]1.10.2022'!C145*100</f>
        <v>2.019987188348987</v>
      </c>
      <c r="M145" s="320"/>
      <c r="N145" s="320">
        <f>(E145-'[2]1.10.2022'!E145)/'[2]1.10.2022'!E145*100</f>
        <v>2.0198998870021887</v>
      </c>
      <c r="O145" s="320"/>
      <c r="P145" s="320"/>
      <c r="Q145" s="320"/>
    </row>
    <row r="146" spans="1:17" ht="15" customHeight="1">
      <c r="A146" s="327">
        <v>40003002</v>
      </c>
      <c r="B146" s="361" t="s">
        <v>191</v>
      </c>
      <c r="C146" s="259">
        <f>ROUND('[2]1.10.2022'!C146*($I146/100+1),2)</f>
        <v>3889.88</v>
      </c>
      <c r="D146" s="355"/>
      <c r="E146" s="259">
        <f>ROUND('[2]1.10.2022'!E146*($J146/100+1),2)</f>
        <v>3852.19</v>
      </c>
      <c r="H146" s="259"/>
      <c r="I146" s="259">
        <f t="shared" si="2"/>
        <v>2.02</v>
      </c>
      <c r="J146" s="259">
        <f t="shared" si="2"/>
        <v>2.02</v>
      </c>
      <c r="K146" s="320"/>
      <c r="L146" s="320">
        <f>(C146-'[2]1.10.2022'!C146)/'[2]1.10.2022'!C146*100</f>
        <v>2.0200059797632215</v>
      </c>
      <c r="M146" s="320"/>
      <c r="N146" s="320">
        <f>(E146-'[2]1.10.2022'!E146)/'[2]1.10.2022'!E146*100</f>
        <v>2.0199050827348035</v>
      </c>
      <c r="O146" s="320"/>
      <c r="P146" s="320"/>
      <c r="Q146" s="320"/>
    </row>
    <row r="147" spans="1:17" ht="15" customHeight="1">
      <c r="A147" s="358"/>
      <c r="B147" s="362"/>
      <c r="C147" s="329"/>
      <c r="D147" s="329"/>
      <c r="E147" s="329"/>
      <c r="I147" s="259"/>
      <c r="J147" s="259"/>
      <c r="K147" s="320"/>
      <c r="L147" s="320"/>
      <c r="M147" s="320"/>
      <c r="N147" s="320"/>
      <c r="O147" s="320"/>
      <c r="P147" s="320"/>
      <c r="Q147" s="320"/>
    </row>
    <row r="148" spans="1:17" ht="15" customHeight="1">
      <c r="A148" s="358" t="s">
        <v>542</v>
      </c>
      <c r="B148" s="362"/>
      <c r="C148" s="329"/>
      <c r="D148" s="329"/>
      <c r="E148" s="329"/>
      <c r="I148" s="259"/>
      <c r="J148" s="259"/>
      <c r="K148" s="320"/>
      <c r="L148" s="320"/>
      <c r="M148" s="320"/>
      <c r="N148" s="320"/>
      <c r="O148" s="320"/>
      <c r="P148" s="320"/>
      <c r="Q148" s="320"/>
    </row>
    <row r="149" spans="1:17" ht="15" customHeight="1">
      <c r="A149" s="370">
        <v>41103003</v>
      </c>
      <c r="B149" s="363" t="s">
        <v>559</v>
      </c>
      <c r="C149" s="368" t="s">
        <v>2</v>
      </c>
      <c r="D149" s="368"/>
      <c r="E149" s="368" t="s">
        <v>3</v>
      </c>
      <c r="I149" s="259"/>
      <c r="J149" s="259"/>
      <c r="K149" s="320"/>
      <c r="L149" s="320"/>
      <c r="M149" s="320"/>
      <c r="N149" s="320"/>
      <c r="O149" s="320"/>
      <c r="P149" s="320"/>
      <c r="Q149" s="320"/>
    </row>
    <row r="150" spans="1:17" ht="15" customHeight="1">
      <c r="A150" s="358"/>
      <c r="B150" s="363" t="s">
        <v>560</v>
      </c>
      <c r="C150" s="259">
        <f>ROUND('[2]1.10.2022'!C150*($I150/100+1),2)</f>
        <v>3659.11</v>
      </c>
      <c r="D150" s="355"/>
      <c r="E150" s="259">
        <f>ROUND('[2]1.10.2022'!E150*($J150/100+1),2)</f>
        <v>3624.36</v>
      </c>
      <c r="F150" s="259"/>
      <c r="H150" s="240"/>
      <c r="I150" s="259">
        <f aca="true" t="shared" si="3" ref="I150:J162">$I$1</f>
        <v>2.02</v>
      </c>
      <c r="J150" s="259">
        <f t="shared" si="3"/>
        <v>2.02</v>
      </c>
      <c r="K150" s="320"/>
      <c r="L150" s="320">
        <f>(C150-'[2]1.10.2022'!C150)/'[2]1.10.2022'!C150*100</f>
        <v>2.0199851672586826</v>
      </c>
      <c r="M150" s="320"/>
      <c r="N150" s="320">
        <f>(E150-'[2]1.10.2022'!E150)/'[2]1.10.2022'!E150*100</f>
        <v>2.0199290660361484</v>
      </c>
      <c r="O150" s="320"/>
      <c r="P150" s="320"/>
      <c r="Q150" s="320"/>
    </row>
    <row r="151" spans="1:17" ht="15" customHeight="1">
      <c r="A151" s="358"/>
      <c r="B151" s="362" t="s">
        <v>98</v>
      </c>
      <c r="C151" s="259">
        <f>ROUND('[2]1.10.2022'!C151*($I151/100+1),2)</f>
        <v>3861.51</v>
      </c>
      <c r="D151" s="355"/>
      <c r="E151" s="259">
        <f>ROUND('[2]1.10.2022'!E151*($J151/100+1),2)</f>
        <v>3824.84</v>
      </c>
      <c r="I151" s="259">
        <f t="shared" si="3"/>
        <v>2.02</v>
      </c>
      <c r="J151" s="259">
        <f t="shared" si="3"/>
        <v>2.02</v>
      </c>
      <c r="K151" s="320"/>
      <c r="L151" s="320">
        <f>(C151-'[2]1.10.2022'!C151)/'[2]1.10.2022'!C151*100</f>
        <v>2.0200525752632075</v>
      </c>
      <c r="M151" s="320"/>
      <c r="N151" s="320">
        <f>(E151-'[2]1.10.2022'!E151)/'[2]1.10.2022'!E151*100</f>
        <v>2.019946067199949</v>
      </c>
      <c r="O151" s="320"/>
      <c r="P151" s="320"/>
      <c r="Q151" s="320"/>
    </row>
    <row r="152" spans="1:17" ht="15" customHeight="1">
      <c r="A152" s="358"/>
      <c r="B152" s="361" t="s">
        <v>99</v>
      </c>
      <c r="C152" s="259">
        <f>ROUND('[2]1.10.2022'!C152*($I152/100+1),2)</f>
        <v>4004.53</v>
      </c>
      <c r="D152" s="355"/>
      <c r="E152" s="259">
        <f>ROUND('[2]1.10.2022'!E152*($J152/100+1),2)</f>
        <v>3966.53</v>
      </c>
      <c r="I152" s="259">
        <f t="shared" si="3"/>
        <v>2.02</v>
      </c>
      <c r="J152" s="259">
        <f t="shared" si="3"/>
        <v>2.02</v>
      </c>
      <c r="K152" s="320"/>
      <c r="L152" s="320">
        <f>(C152-'[2]1.10.2022'!C152)/'[2]1.10.2022'!C152*100</f>
        <v>2.020003872374694</v>
      </c>
      <c r="M152" s="320"/>
      <c r="N152" s="320">
        <f>(E152-'[2]1.10.2022'!E152)/'[2]1.10.2022'!E152*100</f>
        <v>2.0200669240404534</v>
      </c>
      <c r="O152" s="320"/>
      <c r="P152" s="320"/>
      <c r="Q152" s="320"/>
    </row>
    <row r="153" spans="1:17" ht="15" customHeight="1">
      <c r="A153" s="358"/>
      <c r="B153" s="363" t="s">
        <v>100</v>
      </c>
      <c r="C153" s="259">
        <f>ROUND('[2]1.10.2022'!C153*($I153/100+1),2)</f>
        <v>4227.66</v>
      </c>
      <c r="D153" s="355"/>
      <c r="E153" s="259">
        <f>ROUND('[2]1.10.2022'!E153*($J153/100+1),2)</f>
        <v>4187.53</v>
      </c>
      <c r="I153" s="259">
        <f t="shared" si="3"/>
        <v>2.02</v>
      </c>
      <c r="J153" s="259">
        <f t="shared" si="3"/>
        <v>2.02</v>
      </c>
      <c r="K153" s="320"/>
      <c r="L153" s="320">
        <f>(C153-'[2]1.10.2022'!C153)/'[2]1.10.2022'!C153*100</f>
        <v>2.0200533307593007</v>
      </c>
      <c r="M153" s="320"/>
      <c r="N153" s="320">
        <f>(E153-'[2]1.10.2022'!E153)/'[2]1.10.2022'!E153*100</f>
        <v>2.01991901808206</v>
      </c>
      <c r="O153" s="320"/>
      <c r="P153" s="320"/>
      <c r="Q153" s="320"/>
    </row>
    <row r="154" spans="1:17" ht="15" customHeight="1">
      <c r="A154" s="358"/>
      <c r="B154" s="362" t="s">
        <v>101</v>
      </c>
      <c r="C154" s="259">
        <f>ROUND('[2]1.10.2022'!C154*($I154/100+1),2)</f>
        <v>4464.17</v>
      </c>
      <c r="D154" s="355"/>
      <c r="E154" s="259">
        <f>ROUND('[2]1.10.2022'!E154*($J154/100+1),2)</f>
        <v>4421.81</v>
      </c>
      <c r="I154" s="259">
        <f t="shared" si="3"/>
        <v>2.02</v>
      </c>
      <c r="J154" s="259">
        <f t="shared" si="3"/>
        <v>2.02</v>
      </c>
      <c r="K154" s="320"/>
      <c r="L154" s="320">
        <f>(C154-'[2]1.10.2022'!C154)/'[2]1.10.2022'!C154*100</f>
        <v>2.019982723080236</v>
      </c>
      <c r="M154" s="320"/>
      <c r="N154" s="320">
        <f>(E154-'[2]1.10.2022'!E154)/'[2]1.10.2022'!E154*100</f>
        <v>2.019952656278123</v>
      </c>
      <c r="O154" s="320"/>
      <c r="P154" s="320"/>
      <c r="Q154" s="320"/>
    </row>
    <row r="155" spans="1:17" ht="15" customHeight="1">
      <c r="A155" s="358"/>
      <c r="B155" s="361" t="s">
        <v>102</v>
      </c>
      <c r="C155" s="259">
        <f>ROUND('[2]1.10.2022'!C155*($I155/100+1),2)</f>
        <v>4714.9</v>
      </c>
      <c r="D155" s="355"/>
      <c r="E155" s="259">
        <f>ROUND('[2]1.10.2022'!E155*($J155/100+1),2)</f>
        <v>4670.13</v>
      </c>
      <c r="I155" s="259">
        <f t="shared" si="3"/>
        <v>2.02</v>
      </c>
      <c r="J155" s="259">
        <f t="shared" si="3"/>
        <v>2.02</v>
      </c>
      <c r="K155" s="320"/>
      <c r="L155" s="320">
        <f>(C155-'[2]1.10.2022'!C155)/'[2]1.10.2022'!C155*100</f>
        <v>2.0201058521618265</v>
      </c>
      <c r="M155" s="320"/>
      <c r="N155" s="320">
        <f>(E155-'[2]1.10.2022'!E155)/'[2]1.10.2022'!E155*100</f>
        <v>2.020027699741795</v>
      </c>
      <c r="O155" s="320"/>
      <c r="P155" s="320"/>
      <c r="Q155" s="320"/>
    </row>
    <row r="156" spans="1:17" ht="15" customHeight="1">
      <c r="A156" s="370">
        <v>41103004</v>
      </c>
      <c r="B156" s="361" t="s">
        <v>192</v>
      </c>
      <c r="C156" s="338"/>
      <c r="D156" s="338"/>
      <c r="E156" s="338"/>
      <c r="I156" s="259"/>
      <c r="J156" s="259"/>
      <c r="K156" s="320"/>
      <c r="L156" s="320"/>
      <c r="M156" s="320"/>
      <c r="N156" s="320"/>
      <c r="O156" s="320"/>
      <c r="P156" s="320"/>
      <c r="Q156" s="320"/>
    </row>
    <row r="157" spans="2:17" ht="15" customHeight="1">
      <c r="B157" s="363" t="s">
        <v>560</v>
      </c>
      <c r="C157" s="259">
        <f>ROUND('[2]1.10.2022'!C157*($I157/100+1),2)</f>
        <v>3352.64</v>
      </c>
      <c r="D157" s="355"/>
      <c r="E157" s="259">
        <f>ROUND('[2]1.10.2022'!E157*($J157/100+1),2)</f>
        <v>3320.34</v>
      </c>
      <c r="G157" s="240"/>
      <c r="H157" s="240"/>
      <c r="I157" s="259">
        <f t="shared" si="3"/>
        <v>2.02</v>
      </c>
      <c r="J157" s="259">
        <f t="shared" si="3"/>
        <v>2.02</v>
      </c>
      <c r="K157" s="320"/>
      <c r="L157" s="320">
        <f>(C157-'[2]1.10.2022'!C157)/'[2]1.10.2022'!C157*100</f>
        <v>2.019925386305394</v>
      </c>
      <c r="M157" s="320"/>
      <c r="N157" s="320">
        <f>(E157-'[2]1.10.2022'!E157)/'[2]1.10.2022'!E157*100</f>
        <v>2.0199102808332894</v>
      </c>
      <c r="O157" s="320"/>
      <c r="P157" s="320"/>
      <c r="Q157" s="320"/>
    </row>
    <row r="158" spans="1:17" ht="15" customHeight="1">
      <c r="A158" s="358"/>
      <c r="B158" s="367" t="s">
        <v>98</v>
      </c>
      <c r="C158" s="259">
        <f>ROUND('[2]1.10.2022'!C158*($I158/100+1),2)</f>
        <v>3419.69</v>
      </c>
      <c r="D158" s="355"/>
      <c r="E158" s="259">
        <f>ROUND('[2]1.10.2022'!E158*($J158/100+1),2)</f>
        <v>3386.74</v>
      </c>
      <c r="I158" s="259">
        <f t="shared" si="3"/>
        <v>2.02</v>
      </c>
      <c r="J158" s="259">
        <f t="shared" si="3"/>
        <v>2.02</v>
      </c>
      <c r="K158" s="320"/>
      <c r="L158" s="320">
        <f>(C158-'[2]1.10.2022'!C158)/'[2]1.10.2022'!C158*100</f>
        <v>2.0200001193324555</v>
      </c>
      <c r="M158" s="320"/>
      <c r="N158" s="320">
        <f>(E158-'[2]1.10.2022'!E158)/'[2]1.10.2022'!E158*100</f>
        <v>2.020074224021591</v>
      </c>
      <c r="O158" s="320"/>
      <c r="P158" s="320"/>
      <c r="Q158" s="320"/>
    </row>
    <row r="159" spans="1:17" ht="15" customHeight="1">
      <c r="A159" s="358"/>
      <c r="B159" s="361" t="s">
        <v>99</v>
      </c>
      <c r="C159" s="259">
        <f>ROUND('[2]1.10.2022'!C159*($I159/100+1),2)</f>
        <v>3522.28</v>
      </c>
      <c r="D159" s="355"/>
      <c r="E159" s="259">
        <f>ROUND('[2]1.10.2022'!E159*($J159/100+1),2)</f>
        <v>3488.35</v>
      </c>
      <c r="I159" s="259">
        <f t="shared" si="3"/>
        <v>2.02</v>
      </c>
      <c r="J159" s="259">
        <f t="shared" si="3"/>
        <v>2.02</v>
      </c>
      <c r="K159" s="320"/>
      <c r="L159" s="320">
        <f>(C159-'[2]1.10.2022'!C159)/'[2]1.10.2022'!C159*100</f>
        <v>2.0199621148487847</v>
      </c>
      <c r="M159" s="320"/>
      <c r="N159" s="320">
        <f>(E159-'[2]1.10.2022'!E159)/'[2]1.10.2022'!E159*100</f>
        <v>2.0200159097821677</v>
      </c>
      <c r="O159" s="320"/>
      <c r="P159" s="320"/>
      <c r="Q159" s="320"/>
    </row>
    <row r="160" spans="1:17" ht="15" customHeight="1">
      <c r="A160" s="358"/>
      <c r="B160" s="362" t="s">
        <v>100</v>
      </c>
      <c r="C160" s="259">
        <f>ROUND('[2]1.10.2022'!C160*($I160/100+1),2)</f>
        <v>3698.38</v>
      </c>
      <c r="D160" s="355"/>
      <c r="E160" s="259">
        <f>ROUND('[2]1.10.2022'!E160*($J160/100+1),2)</f>
        <v>3662.8</v>
      </c>
      <c r="I160" s="259">
        <f t="shared" si="3"/>
        <v>2.02</v>
      </c>
      <c r="J160" s="259">
        <f t="shared" si="3"/>
        <v>2.02</v>
      </c>
      <c r="K160" s="320"/>
      <c r="L160" s="320">
        <f>(C160-'[2]1.10.2022'!C160)/'[2]1.10.2022'!C160*100</f>
        <v>2.0200543425789284</v>
      </c>
      <c r="M160" s="320"/>
      <c r="N160" s="320">
        <f>(E160-'[2]1.10.2022'!E160)/'[2]1.10.2022'!E160*100</f>
        <v>2.0198981695020994</v>
      </c>
      <c r="O160" s="320"/>
      <c r="P160" s="320"/>
      <c r="Q160" s="320"/>
    </row>
    <row r="161" spans="1:17" ht="15" customHeight="1">
      <c r="A161" s="358"/>
      <c r="B161" s="367" t="s">
        <v>101</v>
      </c>
      <c r="C161" s="259">
        <f>ROUND('[2]1.10.2022'!C161*($I161/100+1),2)</f>
        <v>3992.65</v>
      </c>
      <c r="D161" s="355"/>
      <c r="E161" s="259">
        <f>ROUND('[2]1.10.2022'!E161*($J161/100+1),2)</f>
        <v>3954.19</v>
      </c>
      <c r="I161" s="259">
        <f t="shared" si="3"/>
        <v>2.02</v>
      </c>
      <c r="J161" s="259">
        <f t="shared" si="3"/>
        <v>2.02</v>
      </c>
      <c r="K161" s="320"/>
      <c r="L161" s="320">
        <f>(C161-'[2]1.10.2022'!C161)/'[2]1.10.2022'!C161*100</f>
        <v>2.0198793949305034</v>
      </c>
      <c r="M161" s="320"/>
      <c r="N161" s="320">
        <f>(E161-'[2]1.10.2022'!E161)/'[2]1.10.2022'!E161*100</f>
        <v>2.01991795453959</v>
      </c>
      <c r="O161" s="320"/>
      <c r="P161" s="320"/>
      <c r="Q161" s="320"/>
    </row>
    <row r="162" spans="1:17" ht="15" customHeight="1">
      <c r="A162" s="358"/>
      <c r="B162" s="361" t="s">
        <v>102</v>
      </c>
      <c r="C162" s="259">
        <f>ROUND('[2]1.10.2022'!C162*($I162/100+1),2)</f>
        <v>4152.36</v>
      </c>
      <c r="D162" s="355"/>
      <c r="E162" s="259">
        <f>ROUND('[2]1.10.2022'!E162*($J162/100+1),2)</f>
        <v>4112.36</v>
      </c>
      <c r="I162" s="259">
        <f t="shared" si="3"/>
        <v>2.02</v>
      </c>
      <c r="J162" s="259">
        <f t="shared" si="3"/>
        <v>2.02</v>
      </c>
      <c r="K162" s="320"/>
      <c r="L162" s="320">
        <f>(C162-'[2]1.10.2022'!C162)/'[2]1.10.2022'!C162*100</f>
        <v>2.020077933437174</v>
      </c>
      <c r="M162" s="320"/>
      <c r="N162" s="320">
        <f>(E162-'[2]1.10.2022'!E162)/'[2]1.10.2022'!E162*100</f>
        <v>2.019876257150928</v>
      </c>
      <c r="O162" s="320"/>
      <c r="P162" s="320"/>
      <c r="Q162" s="320"/>
    </row>
    <row r="163" spans="1:17" ht="15" customHeight="1">
      <c r="A163" s="347">
        <v>41104001</v>
      </c>
      <c r="B163" s="362" t="s">
        <v>427</v>
      </c>
      <c r="C163" s="259"/>
      <c r="D163" s="259"/>
      <c r="E163" s="259"/>
      <c r="I163" s="259"/>
      <c r="J163" s="259"/>
      <c r="K163" s="320"/>
      <c r="L163" s="320"/>
      <c r="M163" s="320"/>
      <c r="N163" s="320"/>
      <c r="O163" s="320"/>
      <c r="P163" s="320"/>
      <c r="Q163" s="320"/>
    </row>
    <row r="164" spans="1:17" ht="15" customHeight="1">
      <c r="A164" s="370">
        <v>41107001</v>
      </c>
      <c r="B164" s="363" t="s">
        <v>428</v>
      </c>
      <c r="C164" s="338"/>
      <c r="D164" s="338"/>
      <c r="E164" s="338"/>
      <c r="I164" s="259"/>
      <c r="J164" s="259"/>
      <c r="K164" s="320"/>
      <c r="L164" s="320"/>
      <c r="M164" s="320"/>
      <c r="N164" s="320"/>
      <c r="O164" s="320"/>
      <c r="P164" s="320"/>
      <c r="Q164" s="320"/>
    </row>
    <row r="165" spans="1:17" ht="15" customHeight="1">
      <c r="A165" s="347"/>
      <c r="B165" s="362" t="s">
        <v>560</v>
      </c>
      <c r="C165" s="259">
        <f>ROUND('[2]1.10.2022'!C165*($I165/100+1),2)</f>
        <v>3659.11</v>
      </c>
      <c r="D165" s="355"/>
      <c r="E165" s="259">
        <f>ROUND('[2]1.10.2022'!E165*($J165/100+1),2)</f>
        <v>3624.36</v>
      </c>
      <c r="I165" s="259">
        <f aca="true" t="shared" si="4" ref="I165:J170">$I$1</f>
        <v>2.02</v>
      </c>
      <c r="J165" s="259">
        <f t="shared" si="4"/>
        <v>2.02</v>
      </c>
      <c r="K165" s="320"/>
      <c r="L165" s="320">
        <f>(C165-'[2]1.10.2022'!C165)/'[2]1.10.2022'!C165*100</f>
        <v>2.0199851672586826</v>
      </c>
      <c r="M165" s="320"/>
      <c r="N165" s="320">
        <f>(E165-'[2]1.10.2022'!E165)/'[2]1.10.2022'!E165*100</f>
        <v>2.0199290660361484</v>
      </c>
      <c r="O165" s="320"/>
      <c r="P165" s="320"/>
      <c r="Q165" s="320"/>
    </row>
    <row r="166" spans="1:17" ht="15" customHeight="1">
      <c r="A166" s="347"/>
      <c r="B166" s="367" t="s">
        <v>98</v>
      </c>
      <c r="C166" s="259">
        <f>ROUND('[2]1.10.2022'!C166*($I166/100+1),2)</f>
        <v>3861.51</v>
      </c>
      <c r="D166" s="355"/>
      <c r="E166" s="259">
        <f>ROUND('[2]1.10.2022'!E166*($J166/100+1),2)</f>
        <v>3824.84</v>
      </c>
      <c r="I166" s="259">
        <f t="shared" si="4"/>
        <v>2.02</v>
      </c>
      <c r="J166" s="259">
        <f t="shared" si="4"/>
        <v>2.02</v>
      </c>
      <c r="K166" s="320"/>
      <c r="L166" s="320">
        <f>(C166-'[2]1.10.2022'!C166)/'[2]1.10.2022'!C166*100</f>
        <v>2.0200525752632075</v>
      </c>
      <c r="M166" s="320"/>
      <c r="N166" s="320">
        <f>(E166-'[2]1.10.2022'!E166)/'[2]1.10.2022'!E166*100</f>
        <v>2.019946067199949</v>
      </c>
      <c r="O166" s="320"/>
      <c r="P166" s="320"/>
      <c r="Q166" s="320"/>
    </row>
    <row r="167" spans="1:17" ht="15" customHeight="1">
      <c r="A167" s="347"/>
      <c r="B167" s="361" t="s">
        <v>99</v>
      </c>
      <c r="C167" s="259">
        <f>ROUND('[2]1.10.2022'!C167*($I167/100+1),2)</f>
        <v>4004.53</v>
      </c>
      <c r="D167" s="355"/>
      <c r="E167" s="259">
        <f>ROUND('[2]1.10.2022'!E167*($J167/100+1),2)</f>
        <v>3966.53</v>
      </c>
      <c r="I167" s="259">
        <f t="shared" si="4"/>
        <v>2.02</v>
      </c>
      <c r="J167" s="259">
        <f t="shared" si="4"/>
        <v>2.02</v>
      </c>
      <c r="K167" s="320"/>
      <c r="L167" s="320">
        <f>(C167-'[2]1.10.2022'!C167)/'[2]1.10.2022'!C167*100</f>
        <v>2.020003872374694</v>
      </c>
      <c r="M167" s="320"/>
      <c r="N167" s="320">
        <f>(E167-'[2]1.10.2022'!E167)/'[2]1.10.2022'!E167*100</f>
        <v>2.0200669240404534</v>
      </c>
      <c r="O167" s="320"/>
      <c r="P167" s="320"/>
      <c r="Q167" s="320"/>
    </row>
    <row r="168" spans="1:17" ht="15" customHeight="1">
      <c r="A168" s="347"/>
      <c r="B168" s="361" t="s">
        <v>100</v>
      </c>
      <c r="C168" s="259">
        <f>ROUND('[2]1.10.2022'!C168*($I168/100+1),2)</f>
        <v>4227.66</v>
      </c>
      <c r="D168" s="355"/>
      <c r="E168" s="259">
        <f>ROUND('[2]1.10.2022'!E168*($J168/100+1),2)</f>
        <v>4187.53</v>
      </c>
      <c r="I168" s="259">
        <f t="shared" si="4"/>
        <v>2.02</v>
      </c>
      <c r="J168" s="259">
        <f t="shared" si="4"/>
        <v>2.02</v>
      </c>
      <c r="K168" s="320"/>
      <c r="L168" s="320">
        <f>(C168-'[2]1.10.2022'!C168)/'[2]1.10.2022'!C168*100</f>
        <v>2.0200533307593007</v>
      </c>
      <c r="M168" s="320"/>
      <c r="N168" s="320">
        <f>(E168-'[2]1.10.2022'!E168)/'[2]1.10.2022'!E168*100</f>
        <v>2.01991901808206</v>
      </c>
      <c r="O168" s="320"/>
      <c r="P168" s="320"/>
      <c r="Q168" s="320"/>
    </row>
    <row r="169" spans="1:17" ht="15" customHeight="1">
      <c r="A169" s="347"/>
      <c r="B169" s="362" t="s">
        <v>101</v>
      </c>
      <c r="C169" s="259">
        <f>ROUND('[2]1.10.2022'!C169*($I169/100+1),2)</f>
        <v>4464.17</v>
      </c>
      <c r="D169" s="355"/>
      <c r="E169" s="259">
        <f>ROUND('[2]1.10.2022'!E169*($J169/100+1),2)</f>
        <v>4421.81</v>
      </c>
      <c r="I169" s="259">
        <f t="shared" si="4"/>
        <v>2.02</v>
      </c>
      <c r="J169" s="259">
        <f t="shared" si="4"/>
        <v>2.02</v>
      </c>
      <c r="K169" s="320"/>
      <c r="L169" s="320">
        <f>(C169-'[2]1.10.2022'!C169)/'[2]1.10.2022'!C169*100</f>
        <v>2.019982723080236</v>
      </c>
      <c r="M169" s="320"/>
      <c r="N169" s="320">
        <f>(E169-'[2]1.10.2022'!E169)/'[2]1.10.2022'!E169*100</f>
        <v>2.019952656278123</v>
      </c>
      <c r="O169" s="320"/>
      <c r="P169" s="320"/>
      <c r="Q169" s="320"/>
    </row>
    <row r="170" spans="1:17" ht="15" customHeight="1">
      <c r="A170" s="347"/>
      <c r="B170" s="361" t="s">
        <v>102</v>
      </c>
      <c r="C170" s="259">
        <f>ROUND('[2]1.10.2022'!C170*($I170/100+1),2)</f>
        <v>4714.9</v>
      </c>
      <c r="D170" s="355"/>
      <c r="E170" s="259">
        <f>ROUND('[2]1.10.2022'!E170*($J170/100+1),2)</f>
        <v>4670.13</v>
      </c>
      <c r="I170" s="259">
        <f t="shared" si="4"/>
        <v>2.02</v>
      </c>
      <c r="J170" s="259">
        <f t="shared" si="4"/>
        <v>2.02</v>
      </c>
      <c r="K170" s="320"/>
      <c r="L170" s="320">
        <f>(C170-'[2]1.10.2022'!C170)/'[2]1.10.2022'!C170*100</f>
        <v>2.0201058521618265</v>
      </c>
      <c r="M170" s="320"/>
      <c r="N170" s="320">
        <f>(E170-'[2]1.10.2022'!E170)/'[2]1.10.2022'!E170*100</f>
        <v>2.020027699741795</v>
      </c>
      <c r="O170" s="320"/>
      <c r="P170" s="320"/>
      <c r="Q170" s="320"/>
    </row>
    <row r="171" spans="1:18" ht="15" customHeight="1">
      <c r="A171" s="347">
        <v>41104002</v>
      </c>
      <c r="B171" s="362" t="s">
        <v>429</v>
      </c>
      <c r="C171" s="259"/>
      <c r="D171" s="371"/>
      <c r="E171" s="259"/>
      <c r="I171" s="259"/>
      <c r="J171" s="259"/>
      <c r="K171" s="320"/>
      <c r="L171" s="320"/>
      <c r="M171" s="320"/>
      <c r="N171" s="320"/>
      <c r="O171" s="320"/>
      <c r="P171" s="320"/>
      <c r="Q171" s="320"/>
      <c r="R171" s="372"/>
    </row>
    <row r="172" spans="1:17" ht="15" customHeight="1">
      <c r="A172" s="370">
        <v>41107002</v>
      </c>
      <c r="B172" s="363" t="s">
        <v>430</v>
      </c>
      <c r="C172" s="338"/>
      <c r="D172" s="338"/>
      <c r="E172" s="338"/>
      <c r="I172" s="259"/>
      <c r="J172" s="259"/>
      <c r="K172" s="320"/>
      <c r="L172" s="320"/>
      <c r="M172" s="320"/>
      <c r="N172" s="320"/>
      <c r="O172" s="320"/>
      <c r="P172" s="320"/>
      <c r="Q172" s="320"/>
    </row>
    <row r="173" spans="1:17" ht="15" customHeight="1">
      <c r="A173" s="347"/>
      <c r="B173" s="363" t="s">
        <v>560</v>
      </c>
      <c r="C173" s="259">
        <f>ROUND('[2]1.10.2022'!C173*($I173/100+1),2)</f>
        <v>3235.77</v>
      </c>
      <c r="D173" s="355"/>
      <c r="E173" s="259">
        <f>ROUND('[2]1.10.2022'!E173*($J173/100+1),2)</f>
        <v>3205.06</v>
      </c>
      <c r="I173" s="259">
        <f aca="true" t="shared" si="5" ref="I173:J178">$I$1</f>
        <v>2.02</v>
      </c>
      <c r="J173" s="259">
        <f t="shared" si="5"/>
        <v>2.02</v>
      </c>
      <c r="K173" s="320"/>
      <c r="L173" s="320">
        <f>(C173-'[2]1.10.2022'!C173)/'[2]1.10.2022'!C173*100</f>
        <v>2.020052337862981</v>
      </c>
      <c r="M173" s="320"/>
      <c r="N173" s="320">
        <f>(E173-'[2]1.10.2022'!E173)/'[2]1.10.2022'!E173*100</f>
        <v>2.0199898141074626</v>
      </c>
      <c r="O173" s="320"/>
      <c r="P173" s="320"/>
      <c r="Q173" s="320"/>
    </row>
    <row r="174" spans="1:17" ht="15" customHeight="1">
      <c r="A174" s="347"/>
      <c r="B174" s="361" t="s">
        <v>98</v>
      </c>
      <c r="C174" s="259">
        <f>ROUND('[2]1.10.2022'!C174*($I174/100+1),2)</f>
        <v>3414.76</v>
      </c>
      <c r="D174" s="355"/>
      <c r="E174" s="259">
        <f>ROUND('[2]1.10.2022'!E174*($J174/100+1),2)</f>
        <v>3382.36</v>
      </c>
      <c r="I174" s="259">
        <f t="shared" si="5"/>
        <v>2.02</v>
      </c>
      <c r="J174" s="259">
        <f t="shared" si="5"/>
        <v>2.02</v>
      </c>
      <c r="K174" s="320"/>
      <c r="L174" s="320">
        <f>(C174-'[2]1.10.2022'!C174)/'[2]1.10.2022'!C174*100</f>
        <v>2.0199274009231774</v>
      </c>
      <c r="M174" s="320"/>
      <c r="N174" s="320">
        <f>(E174-'[2]1.10.2022'!E174)/'[2]1.10.2022'!E174*100</f>
        <v>2.0199735174444107</v>
      </c>
      <c r="O174" s="320"/>
      <c r="P174" s="320"/>
      <c r="Q174" s="320"/>
    </row>
    <row r="175" spans="1:17" ht="15" customHeight="1">
      <c r="A175" s="347"/>
      <c r="B175" s="361" t="s">
        <v>99</v>
      </c>
      <c r="C175" s="259">
        <f>ROUND('[2]1.10.2022'!C175*($I175/100+1),2)</f>
        <v>3541.25</v>
      </c>
      <c r="D175" s="355"/>
      <c r="E175" s="259">
        <f>ROUND('[2]1.10.2022'!E175*($J175/100+1),2)</f>
        <v>3507.64</v>
      </c>
      <c r="I175" s="259">
        <f t="shared" si="5"/>
        <v>2.02</v>
      </c>
      <c r="J175" s="259">
        <f t="shared" si="5"/>
        <v>2.02</v>
      </c>
      <c r="K175" s="320"/>
      <c r="L175" s="320">
        <f>(C175-'[2]1.10.2022'!C175)/'[2]1.10.2022'!C175*100</f>
        <v>2.020091439963352</v>
      </c>
      <c r="M175" s="320"/>
      <c r="N175" s="320">
        <f>(E175-'[2]1.10.2022'!E175)/'[2]1.10.2022'!E175*100</f>
        <v>2.019958175668006</v>
      </c>
      <c r="O175" s="320"/>
      <c r="P175" s="320"/>
      <c r="Q175" s="320"/>
    </row>
    <row r="176" spans="1:17" ht="15" customHeight="1">
      <c r="A176" s="347"/>
      <c r="B176" s="361" t="s">
        <v>100</v>
      </c>
      <c r="C176" s="259">
        <f>ROUND('[2]1.10.2022'!C176*($I176/100+1),2)</f>
        <v>3738.56</v>
      </c>
      <c r="D176" s="355"/>
      <c r="E176" s="259">
        <f>ROUND('[2]1.10.2022'!E176*($J176/100+1),2)</f>
        <v>3703.08</v>
      </c>
      <c r="I176" s="259">
        <f t="shared" si="5"/>
        <v>2.02</v>
      </c>
      <c r="J176" s="259">
        <f t="shared" si="5"/>
        <v>2.02</v>
      </c>
      <c r="K176" s="320"/>
      <c r="L176" s="320">
        <f>(C176-'[2]1.10.2022'!C176)/'[2]1.10.2022'!C176*100</f>
        <v>2.0198988140394154</v>
      </c>
      <c r="M176" s="320"/>
      <c r="N176" s="320">
        <f>(E176-'[2]1.10.2022'!E176)/'[2]1.10.2022'!E176*100</f>
        <v>2.0199682623644457</v>
      </c>
      <c r="O176" s="320"/>
      <c r="P176" s="320"/>
      <c r="Q176" s="320"/>
    </row>
    <row r="177" spans="1:17" ht="15" customHeight="1">
      <c r="A177" s="347"/>
      <c r="B177" s="361" t="s">
        <v>101</v>
      </c>
      <c r="C177" s="259">
        <f>ROUND('[2]1.10.2022'!C177*($I177/100+1),2)</f>
        <v>3947.71</v>
      </c>
      <c r="D177" s="355"/>
      <c r="E177" s="259">
        <f>ROUND('[2]1.10.2022'!E177*($J177/100+1),2)</f>
        <v>3910.25</v>
      </c>
      <c r="I177" s="259">
        <f t="shared" si="5"/>
        <v>2.02</v>
      </c>
      <c r="J177" s="259">
        <f t="shared" si="5"/>
        <v>2.02</v>
      </c>
      <c r="K177" s="320"/>
      <c r="L177" s="320">
        <f>(C177-'[2]1.10.2022'!C177)/'[2]1.10.2022'!C177*100</f>
        <v>2.0198731118605484</v>
      </c>
      <c r="M177" s="320"/>
      <c r="N177" s="320">
        <f>(E177-'[2]1.10.2022'!E177)/'[2]1.10.2022'!E177*100</f>
        <v>2.0199173978496328</v>
      </c>
      <c r="O177" s="320"/>
      <c r="P177" s="320"/>
      <c r="Q177" s="320"/>
    </row>
    <row r="178" spans="1:17" ht="15" customHeight="1">
      <c r="A178" s="347"/>
      <c r="B178" s="361" t="s">
        <v>102</v>
      </c>
      <c r="C178" s="259">
        <f>ROUND('[2]1.10.2022'!C178*($I178/100+1),2)</f>
        <v>4169.42</v>
      </c>
      <c r="D178" s="355"/>
      <c r="E178" s="259">
        <f>ROUND('[2]1.10.2022'!E178*($J178/100+1),2)</f>
        <v>4129.85</v>
      </c>
      <c r="I178" s="259">
        <f t="shared" si="5"/>
        <v>2.02</v>
      </c>
      <c r="J178" s="259">
        <f t="shared" si="5"/>
        <v>2.02</v>
      </c>
      <c r="K178" s="320"/>
      <c r="L178" s="320">
        <f>(C178-'[2]1.10.2022'!C178)/'[2]1.10.2022'!C178*100</f>
        <v>2.019883186888748</v>
      </c>
      <c r="M178" s="320"/>
      <c r="N178" s="320">
        <f>(E178-'[2]1.10.2022'!E178)/'[2]1.10.2022'!E178*100</f>
        <v>2.0199699610679738</v>
      </c>
      <c r="O178" s="320"/>
      <c r="P178" s="320"/>
      <c r="Q178" s="320"/>
    </row>
    <row r="179" spans="1:17" ht="15" customHeight="1">
      <c r="A179" s="347">
        <v>41104003</v>
      </c>
      <c r="B179" s="362" t="s">
        <v>431</v>
      </c>
      <c r="C179" s="259"/>
      <c r="D179" s="259"/>
      <c r="E179" s="259"/>
      <c r="I179" s="259"/>
      <c r="J179" s="259"/>
      <c r="K179" s="320"/>
      <c r="L179" s="320"/>
      <c r="M179" s="320"/>
      <c r="N179" s="320"/>
      <c r="O179" s="320"/>
      <c r="P179" s="320"/>
      <c r="Q179" s="320"/>
    </row>
    <row r="180" spans="1:17" ht="15" customHeight="1">
      <c r="A180" s="370">
        <v>41107003</v>
      </c>
      <c r="B180" s="363" t="s">
        <v>432</v>
      </c>
      <c r="C180" s="338"/>
      <c r="D180" s="338"/>
      <c r="E180" s="338"/>
      <c r="I180" s="259"/>
      <c r="J180" s="259"/>
      <c r="K180" s="320"/>
      <c r="L180" s="320"/>
      <c r="M180" s="320"/>
      <c r="N180" s="320"/>
      <c r="O180" s="320"/>
      <c r="P180" s="320"/>
      <c r="Q180" s="320"/>
    </row>
    <row r="181" spans="1:17" ht="15" customHeight="1">
      <c r="A181" s="347"/>
      <c r="B181" s="363" t="s">
        <v>560</v>
      </c>
      <c r="C181" s="259">
        <f>ROUND('[2]1.10.2022'!C181*($I181/100+1),2)</f>
        <v>2975.36</v>
      </c>
      <c r="D181" s="355"/>
      <c r="E181" s="259">
        <f>ROUND('[2]1.10.2022'!E181*($J181/100+1),2)</f>
        <v>2947.17</v>
      </c>
      <c r="I181" s="259">
        <f aca="true" t="shared" si="6" ref="I181:J186">$I$1</f>
        <v>2.02</v>
      </c>
      <c r="J181" s="259">
        <f t="shared" si="6"/>
        <v>2.02</v>
      </c>
      <c r="K181" s="320"/>
      <c r="L181" s="320">
        <f>(C181-'[2]1.10.2022'!C181)/'[2]1.10.2022'!C181*100</f>
        <v>2.0199214798813734</v>
      </c>
      <c r="M181" s="320"/>
      <c r="N181" s="320">
        <f>(E181-'[2]1.10.2022'!E181)/'[2]1.10.2022'!E181*100</f>
        <v>2.0198558581012285</v>
      </c>
      <c r="O181" s="320"/>
      <c r="P181" s="320"/>
      <c r="Q181" s="320"/>
    </row>
    <row r="182" spans="1:17" ht="15" customHeight="1">
      <c r="A182" s="347"/>
      <c r="B182" s="363" t="s">
        <v>98</v>
      </c>
      <c r="C182" s="259">
        <f>ROUND('[2]1.10.2022'!C182*($I182/100+1),2)</f>
        <v>3139.94</v>
      </c>
      <c r="D182" s="355"/>
      <c r="E182" s="259">
        <f>ROUND('[2]1.10.2022'!E182*($J182/100+1),2)</f>
        <v>3110.2</v>
      </c>
      <c r="I182" s="259">
        <f t="shared" si="6"/>
        <v>2.02</v>
      </c>
      <c r="J182" s="259">
        <f t="shared" si="6"/>
        <v>2.02</v>
      </c>
      <c r="K182" s="320"/>
      <c r="L182" s="320">
        <f>(C182-'[2]1.10.2022'!C182)/'[2]1.10.2022'!C182*100</f>
        <v>2.0199690035317803</v>
      </c>
      <c r="M182" s="320"/>
      <c r="N182" s="320">
        <f>(E182-'[2]1.10.2022'!E182)/'[2]1.10.2022'!E182*100</f>
        <v>2.0199303291325235</v>
      </c>
      <c r="O182" s="320"/>
      <c r="P182" s="320"/>
      <c r="Q182" s="320"/>
    </row>
    <row r="183" spans="1:17" ht="15" customHeight="1">
      <c r="A183" s="347"/>
      <c r="B183" s="363" t="s">
        <v>99</v>
      </c>
      <c r="C183" s="259">
        <f>ROUND('[2]1.10.2022'!C183*($I183/100+1),2)</f>
        <v>3256.24</v>
      </c>
      <c r="D183" s="355"/>
      <c r="E183" s="259">
        <f>ROUND('[2]1.10.2022'!E183*($J183/100+1),2)</f>
        <v>3225.39</v>
      </c>
      <c r="I183" s="259">
        <f t="shared" si="6"/>
        <v>2.02</v>
      </c>
      <c r="J183" s="259">
        <f t="shared" si="6"/>
        <v>2.02</v>
      </c>
      <c r="K183" s="320"/>
      <c r="L183" s="320">
        <f>(C183-'[2]1.10.2022'!C183)/'[2]1.10.2022'!C183*100</f>
        <v>2.0198823850089385</v>
      </c>
      <c r="M183" s="320"/>
      <c r="N183" s="320">
        <f>(E183-'[2]1.10.2022'!E183)/'[2]1.10.2022'!E183*100</f>
        <v>2.0199080824790423</v>
      </c>
      <c r="O183" s="320"/>
      <c r="P183" s="320"/>
      <c r="Q183" s="320"/>
    </row>
    <row r="184" spans="1:17" ht="15" customHeight="1">
      <c r="A184" s="347"/>
      <c r="B184" s="362" t="s">
        <v>100</v>
      </c>
      <c r="C184" s="259">
        <f>ROUND('[2]1.10.2022'!C184*($I184/100+1),2)</f>
        <v>3437.69</v>
      </c>
      <c r="D184" s="355"/>
      <c r="E184" s="259">
        <f>ROUND('[2]1.10.2022'!E184*($J184/100+1),2)</f>
        <v>3405.13</v>
      </c>
      <c r="I184" s="259">
        <f t="shared" si="6"/>
        <v>2.02</v>
      </c>
      <c r="J184" s="259">
        <f t="shared" si="6"/>
        <v>2.02</v>
      </c>
      <c r="K184" s="320"/>
      <c r="L184" s="320">
        <f>(C184-'[2]1.10.2022'!C184)/'[2]1.10.2022'!C184*100</f>
        <v>2.0201090924199216</v>
      </c>
      <c r="M184" s="320"/>
      <c r="N184" s="320">
        <f>(E184-'[2]1.10.2022'!E184)/'[2]1.10.2022'!E184*100</f>
        <v>2.0199478085274056</v>
      </c>
      <c r="O184" s="320"/>
      <c r="P184" s="320"/>
      <c r="Q184" s="320"/>
    </row>
    <row r="185" spans="1:17" ht="15" customHeight="1">
      <c r="A185" s="347"/>
      <c r="B185" s="361" t="s">
        <v>101</v>
      </c>
      <c r="C185" s="259">
        <f>ROUND('[2]1.10.2022'!C185*($I185/100+1),2)</f>
        <v>3630.01</v>
      </c>
      <c r="D185" s="355"/>
      <c r="E185" s="259">
        <f>ROUND('[2]1.10.2022'!E185*($J185/100+1),2)</f>
        <v>3595.62</v>
      </c>
      <c r="I185" s="259">
        <f t="shared" si="6"/>
        <v>2.02</v>
      </c>
      <c r="J185" s="259">
        <f t="shared" si="6"/>
        <v>2.02</v>
      </c>
      <c r="K185" s="320"/>
      <c r="L185" s="320">
        <f>(C185-'[2]1.10.2022'!C185)/'[2]1.10.2022'!C185*100</f>
        <v>2.019875552957454</v>
      </c>
      <c r="M185" s="320"/>
      <c r="N185" s="320">
        <f>(E185-'[2]1.10.2022'!E185)/'[2]1.10.2022'!E185*100</f>
        <v>2.019901090389086</v>
      </c>
      <c r="O185" s="320"/>
      <c r="P185" s="320"/>
      <c r="Q185" s="320"/>
    </row>
    <row r="186" spans="1:17" ht="15" customHeight="1">
      <c r="A186" s="347"/>
      <c r="B186" s="361" t="s">
        <v>102</v>
      </c>
      <c r="C186" s="259">
        <f>ROUND('[2]1.10.2022'!C186*($I186/100+1),2)</f>
        <v>3833.87</v>
      </c>
      <c r="D186" s="355"/>
      <c r="E186" s="259">
        <f>ROUND('[2]1.10.2022'!E186*($J186/100+1),2)</f>
        <v>3797.55</v>
      </c>
      <c r="I186" s="259">
        <f t="shared" si="6"/>
        <v>2.02</v>
      </c>
      <c r="J186" s="259">
        <f t="shared" si="6"/>
        <v>2.02</v>
      </c>
      <c r="K186" s="320"/>
      <c r="L186" s="320">
        <f>(C186-'[2]1.10.2022'!C186)/'[2]1.10.2022'!C186*100</f>
        <v>2.019978924735757</v>
      </c>
      <c r="M186" s="320"/>
      <c r="N186" s="320">
        <f>(E186-'[2]1.10.2022'!E186)/'[2]1.10.2022'!E186*100</f>
        <v>2.019955082259643</v>
      </c>
      <c r="O186" s="320"/>
      <c r="P186" s="320"/>
      <c r="Q186" s="320"/>
    </row>
    <row r="187" spans="1:17" ht="15" customHeight="1">
      <c r="A187" s="347">
        <v>41104004</v>
      </c>
      <c r="B187" s="362" t="s">
        <v>433</v>
      </c>
      <c r="C187" s="259"/>
      <c r="D187" s="259"/>
      <c r="E187" s="259"/>
      <c r="I187" s="259"/>
      <c r="J187" s="259"/>
      <c r="K187" s="320"/>
      <c r="L187" s="320"/>
      <c r="M187" s="320"/>
      <c r="N187" s="320"/>
      <c r="O187" s="320"/>
      <c r="P187" s="320"/>
      <c r="Q187" s="320"/>
    </row>
    <row r="188" spans="1:17" ht="15" customHeight="1">
      <c r="A188" s="370">
        <v>41107004</v>
      </c>
      <c r="B188" s="363" t="s">
        <v>434</v>
      </c>
      <c r="C188" s="338"/>
      <c r="D188" s="338"/>
      <c r="E188" s="338"/>
      <c r="I188" s="259"/>
      <c r="J188" s="259"/>
      <c r="K188" s="320"/>
      <c r="L188" s="320"/>
      <c r="M188" s="320"/>
      <c r="N188" s="320"/>
      <c r="O188" s="320"/>
      <c r="P188" s="320"/>
      <c r="Q188" s="320"/>
    </row>
    <row r="189" spans="1:17" ht="15" customHeight="1">
      <c r="A189" s="347"/>
      <c r="B189" s="362" t="s">
        <v>560</v>
      </c>
      <c r="C189" s="259">
        <f>ROUND('[2]1.10.2022'!C189*($I189/100+1),2)</f>
        <v>2969.63</v>
      </c>
      <c r="D189" s="355"/>
      <c r="E189" s="259">
        <f>ROUND('[2]1.10.2022'!E189*($J189/100+1),2)</f>
        <v>2941.4</v>
      </c>
      <c r="I189" s="259">
        <f aca="true" t="shared" si="7" ref="I189:J194">$I$1</f>
        <v>2.02</v>
      </c>
      <c r="J189" s="259">
        <f t="shared" si="7"/>
        <v>2.02</v>
      </c>
      <c r="K189" s="320"/>
      <c r="L189" s="320">
        <f>(C189-'[2]1.10.2022'!C189)/'[2]1.10.2022'!C189*100</f>
        <v>2.020042393406698</v>
      </c>
      <c r="M189" s="320"/>
      <c r="N189" s="320">
        <f>(E189-'[2]1.10.2022'!E189)/'[2]1.10.2022'!E189*100</f>
        <v>2.0200058269398937</v>
      </c>
      <c r="O189" s="320"/>
      <c r="P189" s="320"/>
      <c r="Q189" s="320"/>
    </row>
    <row r="190" spans="1:17" ht="15" customHeight="1">
      <c r="A190" s="347"/>
      <c r="B190" s="361" t="s">
        <v>98</v>
      </c>
      <c r="C190" s="259">
        <f>ROUND('[2]1.10.2022'!C190*($I190/100+1),2)</f>
        <v>3133.9</v>
      </c>
      <c r="D190" s="355"/>
      <c r="E190" s="259">
        <f>ROUND('[2]1.10.2022'!E190*($J190/100+1),2)</f>
        <v>3104.14</v>
      </c>
      <c r="I190" s="259">
        <f t="shared" si="7"/>
        <v>2.02</v>
      </c>
      <c r="J190" s="259">
        <f t="shared" si="7"/>
        <v>2.02</v>
      </c>
      <c r="K190" s="320"/>
      <c r="L190" s="320">
        <f>(C190-'[2]1.10.2022'!C190)/'[2]1.10.2022'!C190*100</f>
        <v>2.019955401468177</v>
      </c>
      <c r="M190" s="320"/>
      <c r="N190" s="320">
        <f>(E190-'[2]1.10.2022'!E190)/'[2]1.10.2022'!E190*100</f>
        <v>2.019929798730068</v>
      </c>
      <c r="O190" s="320"/>
      <c r="P190" s="320"/>
      <c r="Q190" s="320"/>
    </row>
    <row r="191" spans="1:17" ht="15" customHeight="1">
      <c r="A191" s="347"/>
      <c r="B191" s="362" t="s">
        <v>99</v>
      </c>
      <c r="C191" s="259">
        <f>ROUND('[2]1.10.2022'!C191*($I191/100+1),2)</f>
        <v>3249.99</v>
      </c>
      <c r="D191" s="355"/>
      <c r="E191" s="259">
        <f>ROUND('[2]1.10.2022'!E191*($J191/100+1),2)</f>
        <v>3219.11</v>
      </c>
      <c r="I191" s="259">
        <f t="shared" si="7"/>
        <v>2.02</v>
      </c>
      <c r="J191" s="259">
        <f t="shared" si="7"/>
        <v>2.02</v>
      </c>
      <c r="K191" s="320"/>
      <c r="L191" s="320">
        <f>(C191-'[2]1.10.2022'!C191)/'[2]1.10.2022'!C191*100</f>
        <v>2.020002260142386</v>
      </c>
      <c r="M191" s="320"/>
      <c r="N191" s="320">
        <f>(E191-'[2]1.10.2022'!E191)/'[2]1.10.2022'!E191*100</f>
        <v>2.0200483619987586</v>
      </c>
      <c r="O191" s="320"/>
      <c r="P191" s="320"/>
      <c r="Q191" s="320"/>
    </row>
    <row r="192" spans="1:17" ht="15" customHeight="1">
      <c r="A192" s="347"/>
      <c r="B192" s="367" t="s">
        <v>100</v>
      </c>
      <c r="C192" s="259">
        <f>ROUND('[2]1.10.2022'!C192*($I192/100+1),2)</f>
        <v>3431.07</v>
      </c>
      <c r="D192" s="355"/>
      <c r="E192" s="259">
        <f>ROUND('[2]1.10.2022'!E192*($J192/100+1),2)</f>
        <v>3398.48</v>
      </c>
      <c r="I192" s="259">
        <f t="shared" si="7"/>
        <v>2.02</v>
      </c>
      <c r="J192" s="259">
        <f t="shared" si="7"/>
        <v>2.02</v>
      </c>
      <c r="K192" s="320"/>
      <c r="L192" s="320">
        <f>(C192-'[2]1.10.2022'!C192)/'[2]1.10.2022'!C192*100</f>
        <v>2.0201419510991263</v>
      </c>
      <c r="M192" s="320"/>
      <c r="N192" s="320">
        <f>(E192-'[2]1.10.2022'!E192)/'[2]1.10.2022'!E192*100</f>
        <v>2.019998859266507</v>
      </c>
      <c r="O192" s="320"/>
      <c r="P192" s="320"/>
      <c r="Q192" s="320"/>
    </row>
    <row r="193" spans="1:17" ht="15" customHeight="1">
      <c r="A193" s="347"/>
      <c r="B193" s="367" t="s">
        <v>101</v>
      </c>
      <c r="C193" s="259">
        <f>ROUND('[2]1.10.2022'!C193*($I193/100+1),2)</f>
        <v>3623.02</v>
      </c>
      <c r="D193" s="355"/>
      <c r="E193" s="259">
        <f>ROUND('[2]1.10.2022'!E193*($J193/100+1),2)</f>
        <v>3588.6</v>
      </c>
      <c r="I193" s="259">
        <f t="shared" si="7"/>
        <v>2.02</v>
      </c>
      <c r="J193" s="259">
        <f t="shared" si="7"/>
        <v>2.02</v>
      </c>
      <c r="K193" s="320"/>
      <c r="L193" s="320">
        <f>(C193-'[2]1.10.2022'!C193)/'[2]1.10.2022'!C193*100</f>
        <v>2.020116690320104</v>
      </c>
      <c r="M193" s="320"/>
      <c r="N193" s="320">
        <f>(E193-'[2]1.10.2022'!E193)/'[2]1.10.2022'!E193*100</f>
        <v>2.019871785759967</v>
      </c>
      <c r="O193" s="320"/>
      <c r="P193" s="320"/>
      <c r="Q193" s="320"/>
    </row>
    <row r="194" spans="1:17" ht="15" customHeight="1">
      <c r="A194" s="347"/>
      <c r="B194" s="361" t="s">
        <v>102</v>
      </c>
      <c r="C194" s="259">
        <f>ROUND('[2]1.10.2022'!C194*($I194/100+1),2)</f>
        <v>3826.48</v>
      </c>
      <c r="D194" s="355"/>
      <c r="E194" s="259">
        <f>ROUND('[2]1.10.2022'!E194*($J194/100+1),2)</f>
        <v>3790.13</v>
      </c>
      <c r="I194" s="259">
        <f t="shared" si="7"/>
        <v>2.02</v>
      </c>
      <c r="J194" s="259">
        <f t="shared" si="7"/>
        <v>2.02</v>
      </c>
      <c r="K194" s="320"/>
      <c r="L194" s="320">
        <f>(C194-'[2]1.10.2022'!C194)/'[2]1.10.2022'!C194*100</f>
        <v>2.019878849927487</v>
      </c>
      <c r="M194" s="320"/>
      <c r="N194" s="320">
        <f>(E194-'[2]1.10.2022'!E194)/'[2]1.10.2022'!E194*100</f>
        <v>2.0198703126976727</v>
      </c>
      <c r="O194" s="320"/>
      <c r="P194" s="320"/>
      <c r="Q194" s="320"/>
    </row>
    <row r="195" spans="1:17" ht="14.25">
      <c r="A195" s="347"/>
      <c r="B195" s="362"/>
      <c r="C195" s="310"/>
      <c r="D195" s="329"/>
      <c r="E195" s="329"/>
      <c r="I195" s="259"/>
      <c r="J195" s="259"/>
      <c r="K195" s="320"/>
      <c r="L195" s="320"/>
      <c r="M195" s="320"/>
      <c r="N195" s="320"/>
      <c r="O195" s="320"/>
      <c r="P195" s="320"/>
      <c r="Q195" s="320"/>
    </row>
    <row r="196" spans="1:17" ht="15" customHeight="1">
      <c r="A196" s="373" t="s">
        <v>561</v>
      </c>
      <c r="B196" s="363"/>
      <c r="C196" s="360" t="s">
        <v>562</v>
      </c>
      <c r="D196" s="329"/>
      <c r="E196" s="329"/>
      <c r="I196" s="259"/>
      <c r="J196" s="259"/>
      <c r="K196" s="320"/>
      <c r="L196" s="320"/>
      <c r="M196" s="320"/>
      <c r="N196" s="320"/>
      <c r="O196" s="320"/>
      <c r="P196" s="320"/>
      <c r="Q196" s="320"/>
    </row>
    <row r="197" spans="1:17" ht="15" customHeight="1">
      <c r="A197" s="373"/>
      <c r="B197" s="363"/>
      <c r="C197" s="349"/>
      <c r="D197" s="329"/>
      <c r="E197" s="329"/>
      <c r="I197" s="259"/>
      <c r="J197" s="259"/>
      <c r="K197" s="320"/>
      <c r="L197" s="320"/>
      <c r="M197" s="320"/>
      <c r="N197" s="320"/>
      <c r="O197" s="320"/>
      <c r="P197" s="320"/>
      <c r="Q197" s="320"/>
    </row>
    <row r="198" spans="1:17" s="379" customFormat="1" ht="15" customHeight="1">
      <c r="A198" s="374">
        <v>41107033</v>
      </c>
      <c r="B198" s="375"/>
      <c r="C198" s="259">
        <f>ROUND('[2]1.10.2022'!C198*($I198/100+1),2)</f>
        <v>28.66</v>
      </c>
      <c r="D198" s="376"/>
      <c r="E198" s="376"/>
      <c r="F198" s="377"/>
      <c r="G198" s="377"/>
      <c r="H198" s="377"/>
      <c r="I198" s="259">
        <f aca="true" t="shared" si="8" ref="I198:J203">$I$1</f>
        <v>2.02</v>
      </c>
      <c r="J198" s="259"/>
      <c r="K198" s="378"/>
      <c r="L198" s="320">
        <f>(C198-'[2]1.10.2022'!C198)/'[2]1.10.2022'!C198*100</f>
        <v>2.029191883232468</v>
      </c>
      <c r="M198" s="320"/>
      <c r="N198" s="320"/>
      <c r="O198" s="320"/>
      <c r="P198" s="320"/>
      <c r="Q198" s="320"/>
    </row>
    <row r="199" spans="1:17" s="379" customFormat="1" ht="15" customHeight="1">
      <c r="A199" s="380"/>
      <c r="B199" s="381"/>
      <c r="C199" s="382"/>
      <c r="D199" s="376"/>
      <c r="E199" s="376"/>
      <c r="F199" s="377"/>
      <c r="G199" s="377"/>
      <c r="H199" s="377"/>
      <c r="I199" s="382"/>
      <c r="J199" s="382"/>
      <c r="K199" s="378"/>
      <c r="L199" s="320"/>
      <c r="M199" s="320"/>
      <c r="N199" s="320"/>
      <c r="O199" s="320"/>
      <c r="P199" s="320"/>
      <c r="Q199" s="320"/>
    </row>
    <row r="200" spans="1:17" s="343" customFormat="1" ht="15" customHeight="1">
      <c r="A200" s="346">
        <v>41107041</v>
      </c>
      <c r="B200" s="346" t="s">
        <v>563</v>
      </c>
      <c r="C200" s="259">
        <f>ROUND('[2]1.10.2022'!C200*($I200/100+1),2)</f>
        <v>32.79</v>
      </c>
      <c r="D200" s="355"/>
      <c r="E200" s="259">
        <f>ROUND('[2]1.10.2022'!E200*($J200/100+1),2)</f>
        <v>32.47</v>
      </c>
      <c r="F200" s="342"/>
      <c r="G200" s="342"/>
      <c r="H200" s="342"/>
      <c r="I200" s="259">
        <f t="shared" si="8"/>
        <v>2.02</v>
      </c>
      <c r="J200" s="259">
        <f t="shared" si="8"/>
        <v>2.02</v>
      </c>
      <c r="K200" s="383"/>
      <c r="L200" s="320">
        <f>(C200-'[2]1.10.2022'!C200)/'[2]1.10.2022'!C200*100</f>
        <v>2.02240199128811</v>
      </c>
      <c r="M200" s="320"/>
      <c r="N200" s="320">
        <f>(E200-'[2]1.10.2022'!E200)/'[2]1.10.2022'!E200*100</f>
        <v>2.0106817467797695</v>
      </c>
      <c r="O200" s="320"/>
      <c r="P200" s="320"/>
      <c r="Q200" s="320"/>
    </row>
    <row r="201" spans="1:17" s="343" customFormat="1" ht="15" customHeight="1">
      <c r="A201" s="346">
        <v>41107042</v>
      </c>
      <c r="B201" s="346" t="s">
        <v>564</v>
      </c>
      <c r="C201" s="259">
        <f>ROUND('[2]1.10.2022'!C201*($I201/100+1),2)</f>
        <v>28.55</v>
      </c>
      <c r="D201" s="355"/>
      <c r="E201" s="259">
        <f>ROUND('[2]1.10.2022'!E201*($J201/100+1),2)</f>
        <v>28.28</v>
      </c>
      <c r="F201" s="342"/>
      <c r="G201" s="342"/>
      <c r="H201" s="342"/>
      <c r="I201" s="259">
        <f t="shared" si="8"/>
        <v>2.02</v>
      </c>
      <c r="J201" s="259">
        <f t="shared" si="8"/>
        <v>2.02</v>
      </c>
      <c r="K201" s="383"/>
      <c r="L201" s="320">
        <f>(C201-'[2]1.10.2022'!C201)/'[2]1.10.2022'!C201*100</f>
        <v>2.037169406719086</v>
      </c>
      <c r="M201" s="320"/>
      <c r="N201" s="320">
        <f>(E201-'[2]1.10.2022'!E201)/'[2]1.10.2022'!E201*100</f>
        <v>2.0202020202020283</v>
      </c>
      <c r="O201" s="320"/>
      <c r="P201" s="320"/>
      <c r="Q201" s="320"/>
    </row>
    <row r="202" spans="1:17" s="343" customFormat="1" ht="15" customHeight="1">
      <c r="A202" s="346">
        <v>41107043</v>
      </c>
      <c r="B202" s="346" t="s">
        <v>565</v>
      </c>
      <c r="C202" s="259">
        <f>ROUND('[2]1.10.2022'!C202*($I202/100+1),2)</f>
        <v>26.66</v>
      </c>
      <c r="D202" s="355"/>
      <c r="E202" s="259">
        <f>ROUND('[2]1.10.2022'!E202*($J202/100+1),2)</f>
        <v>26.4</v>
      </c>
      <c r="F202" s="342"/>
      <c r="G202" s="342"/>
      <c r="H202" s="342"/>
      <c r="I202" s="259">
        <f t="shared" si="8"/>
        <v>2.02</v>
      </c>
      <c r="J202" s="259">
        <f t="shared" si="8"/>
        <v>2.02</v>
      </c>
      <c r="K202" s="383"/>
      <c r="L202" s="320">
        <f>(C202-'[2]1.10.2022'!C202)/'[2]1.10.2022'!C202*100</f>
        <v>2.0283199387677047</v>
      </c>
      <c r="M202" s="320"/>
      <c r="N202" s="320">
        <f>(E202-'[2]1.10.2022'!E202)/'[2]1.10.2022'!E202*100</f>
        <v>2.009273570324573</v>
      </c>
      <c r="O202" s="320"/>
      <c r="P202" s="320"/>
      <c r="Q202" s="320"/>
    </row>
    <row r="203" spans="1:17" s="343" customFormat="1" ht="15" customHeight="1">
      <c r="A203" s="346">
        <v>41107044</v>
      </c>
      <c r="B203" s="346" t="s">
        <v>566</v>
      </c>
      <c r="C203" s="259">
        <f>ROUND('[2]1.10.2022'!C203*($I203/100+1),2)</f>
        <v>26.04</v>
      </c>
      <c r="D203" s="355"/>
      <c r="E203" s="259">
        <f>ROUND('[2]1.10.2022'!E203*($J203/100+1),2)</f>
        <v>25.79</v>
      </c>
      <c r="F203" s="342"/>
      <c r="G203" s="342"/>
      <c r="H203" s="342"/>
      <c r="I203" s="259">
        <f t="shared" si="8"/>
        <v>2.02</v>
      </c>
      <c r="J203" s="259">
        <f t="shared" si="8"/>
        <v>2.02</v>
      </c>
      <c r="K203" s="383"/>
      <c r="L203" s="320">
        <f>(C203-'[2]1.10.2022'!C203)/'[2]1.10.2022'!C203*100</f>
        <v>2.0376175548589326</v>
      </c>
      <c r="M203" s="320"/>
      <c r="N203" s="320">
        <f>(E203-'[2]1.10.2022'!E203)/'[2]1.10.2022'!E203*100</f>
        <v>2.017405063291131</v>
      </c>
      <c r="O203" s="320"/>
      <c r="P203" s="320"/>
      <c r="Q203" s="320"/>
    </row>
    <row r="204" spans="1:17" ht="15" customHeight="1">
      <c r="A204" s="347"/>
      <c r="B204" s="362"/>
      <c r="I204" s="259"/>
      <c r="J204" s="259"/>
      <c r="K204" s="320"/>
      <c r="L204" s="320"/>
      <c r="M204" s="320"/>
      <c r="N204" s="320"/>
      <c r="O204" s="320"/>
      <c r="P204" s="320"/>
      <c r="Q204" s="320"/>
    </row>
    <row r="205" spans="1:17" ht="15" customHeight="1">
      <c r="A205" s="384" t="s">
        <v>567</v>
      </c>
      <c r="B205" s="385" t="s">
        <v>568</v>
      </c>
      <c r="C205" s="329"/>
      <c r="D205" s="329"/>
      <c r="E205" s="329"/>
      <c r="I205" s="259"/>
      <c r="J205" s="259"/>
      <c r="K205" s="320"/>
      <c r="L205" s="320"/>
      <c r="M205" s="320"/>
      <c r="N205" s="320"/>
      <c r="O205" s="320"/>
      <c r="P205" s="320"/>
      <c r="Q205" s="320"/>
    </row>
    <row r="206" spans="1:17" ht="15" customHeight="1">
      <c r="A206" s="384" t="s">
        <v>542</v>
      </c>
      <c r="B206" s="386"/>
      <c r="C206" s="360" t="s">
        <v>2</v>
      </c>
      <c r="D206" s="360"/>
      <c r="E206" s="360" t="s">
        <v>3</v>
      </c>
      <c r="I206" s="259"/>
      <c r="J206" s="259"/>
      <c r="K206" s="320"/>
      <c r="L206" s="320"/>
      <c r="M206" s="320"/>
      <c r="N206" s="320"/>
      <c r="O206" s="320"/>
      <c r="P206" s="320"/>
      <c r="Q206" s="320"/>
    </row>
    <row r="207" spans="1:17" ht="15" customHeight="1">
      <c r="A207" s="387">
        <v>40901024</v>
      </c>
      <c r="B207" s="388" t="s">
        <v>424</v>
      </c>
      <c r="C207" s="259">
        <f>ROUND('[2]1.10.2022'!C207*($I207/100+1),2)</f>
        <v>4243.08</v>
      </c>
      <c r="D207" s="355"/>
      <c r="E207" s="259">
        <f>ROUND('[2]1.10.2022'!E207*($J207/100+1),2)</f>
        <v>4202.42</v>
      </c>
      <c r="H207" s="259"/>
      <c r="I207" s="259">
        <f aca="true" t="shared" si="9" ref="I207:J211">$I$1</f>
        <v>2.02</v>
      </c>
      <c r="J207" s="259">
        <f t="shared" si="9"/>
        <v>2.02</v>
      </c>
      <c r="K207" s="320"/>
      <c r="L207" s="320">
        <f>(C207-'[2]1.10.2022'!C207)/'[2]1.10.2022'!C207*100</f>
        <v>2.0199227231087775</v>
      </c>
      <c r="M207" s="320"/>
      <c r="N207" s="320">
        <f>(E207-'[2]1.10.2022'!E207)/'[2]1.10.2022'!E207*100</f>
        <v>2.020047533386257</v>
      </c>
      <c r="O207" s="320"/>
      <c r="P207" s="320"/>
      <c r="Q207" s="320"/>
    </row>
    <row r="208" spans="1:17" ht="15" customHeight="1">
      <c r="A208" s="387">
        <v>40003001</v>
      </c>
      <c r="B208" s="388" t="s">
        <v>425</v>
      </c>
      <c r="C208" s="259">
        <f>ROUND('[2]1.10.2022'!C208*($I208/100+1),2)</f>
        <v>4029.31</v>
      </c>
      <c r="D208" s="355"/>
      <c r="E208" s="259">
        <f>ROUND('[2]1.10.2022'!E208*($J208/100+1),2)</f>
        <v>3990.59</v>
      </c>
      <c r="H208" s="259"/>
      <c r="I208" s="259">
        <f t="shared" si="9"/>
        <v>2.02</v>
      </c>
      <c r="J208" s="259">
        <f t="shared" si="9"/>
        <v>2.02</v>
      </c>
      <c r="K208" s="320"/>
      <c r="L208" s="320">
        <f>(C208-'[2]1.10.2022'!C208)/'[2]1.10.2022'!C208*100</f>
        <v>2.019987188348987</v>
      </c>
      <c r="M208" s="320"/>
      <c r="N208" s="320">
        <f>(E208-'[2]1.10.2022'!E208)/'[2]1.10.2022'!E208*100</f>
        <v>2.0198998870021887</v>
      </c>
      <c r="O208" s="320"/>
      <c r="P208" s="320"/>
      <c r="Q208" s="320"/>
    </row>
    <row r="209" spans="1:17" ht="15" customHeight="1">
      <c r="A209" s="387">
        <v>40003002</v>
      </c>
      <c r="B209" s="388" t="s">
        <v>191</v>
      </c>
      <c r="C209" s="259">
        <f>ROUND('[2]1.10.2022'!C209*($I209/100+1),2)</f>
        <v>3889.88</v>
      </c>
      <c r="D209" s="355"/>
      <c r="E209" s="259">
        <f>ROUND('[2]1.10.2022'!E209*($J209/100+1),2)</f>
        <v>3852.19</v>
      </c>
      <c r="H209" s="259"/>
      <c r="I209" s="259">
        <f t="shared" si="9"/>
        <v>2.02</v>
      </c>
      <c r="J209" s="259">
        <f t="shared" si="9"/>
        <v>2.02</v>
      </c>
      <c r="K209" s="320"/>
      <c r="L209" s="320">
        <f>(C209-'[2]1.10.2022'!C209)/'[2]1.10.2022'!C209*100</f>
        <v>2.0200059797632215</v>
      </c>
      <c r="M209" s="320"/>
      <c r="N209" s="320">
        <f>(E209-'[2]1.10.2022'!E209)/'[2]1.10.2022'!E209*100</f>
        <v>2.0199050827348035</v>
      </c>
      <c r="O209" s="320"/>
      <c r="P209" s="320"/>
      <c r="Q209" s="320"/>
    </row>
    <row r="210" spans="1:17" ht="15" customHeight="1">
      <c r="A210" s="387">
        <v>40003003</v>
      </c>
      <c r="B210" s="388" t="s">
        <v>426</v>
      </c>
      <c r="C210" s="259">
        <f>ROUND('[2]1.10.2022'!C210*($I210/100+1),2)</f>
        <v>3705.07</v>
      </c>
      <c r="D210" s="355"/>
      <c r="E210" s="259">
        <f>ROUND('[2]1.10.2022'!E210*($J210/100+1),2)</f>
        <v>3669.14</v>
      </c>
      <c r="H210" s="259"/>
      <c r="I210" s="259">
        <f t="shared" si="9"/>
        <v>2.02</v>
      </c>
      <c r="J210" s="259">
        <f t="shared" si="9"/>
        <v>2.02</v>
      </c>
      <c r="K210" s="320"/>
      <c r="L210" s="320">
        <f>(C210-'[2]1.10.2022'!C210)/'[2]1.10.2022'!C210*100</f>
        <v>2.0199850759008875</v>
      </c>
      <c r="M210" s="320"/>
      <c r="N210" s="320">
        <f>(E210-'[2]1.10.2022'!E210)/'[2]1.10.2022'!E210*100</f>
        <v>2.0200250800085664</v>
      </c>
      <c r="O210" s="320"/>
      <c r="P210" s="320"/>
      <c r="Q210" s="320"/>
    </row>
    <row r="211" spans="1:17" ht="15" customHeight="1">
      <c r="A211" s="387">
        <v>40003004</v>
      </c>
      <c r="B211" s="388" t="s">
        <v>192</v>
      </c>
      <c r="C211" s="259">
        <f>ROUND('[2]1.10.2022'!C211*($I211/100+1),2)</f>
        <v>3598.5</v>
      </c>
      <c r="D211" s="355"/>
      <c r="E211" s="259">
        <f>ROUND('[2]1.10.2022'!E211*($J211/100+1),2)</f>
        <v>3563.83</v>
      </c>
      <c r="H211" s="259"/>
      <c r="I211" s="259">
        <f t="shared" si="9"/>
        <v>2.02</v>
      </c>
      <c r="J211" s="259">
        <f t="shared" si="9"/>
        <v>2.02</v>
      </c>
      <c r="K211" s="320"/>
      <c r="L211" s="320">
        <f>(C211-'[2]1.10.2022'!C211)/'[2]1.10.2022'!C211*100</f>
        <v>2.019987242185839</v>
      </c>
      <c r="M211" s="320"/>
      <c r="N211" s="320">
        <f>(E211-'[2]1.10.2022'!E211)/'[2]1.10.2022'!E211*100</f>
        <v>2.0198839482776867</v>
      </c>
      <c r="O211" s="320"/>
      <c r="P211" s="320"/>
      <c r="Q211" s="320"/>
    </row>
    <row r="212" spans="1:17" ht="15" customHeight="1">
      <c r="A212" s="389"/>
      <c r="B212" s="390"/>
      <c r="C212" s="329"/>
      <c r="D212" s="329"/>
      <c r="E212" s="329"/>
      <c r="I212" s="259"/>
      <c r="J212" s="259"/>
      <c r="K212" s="320"/>
      <c r="L212" s="320"/>
      <c r="M212" s="320"/>
      <c r="N212" s="320"/>
      <c r="O212" s="320"/>
      <c r="P212" s="320"/>
      <c r="Q212" s="320"/>
    </row>
    <row r="213" spans="1:17" ht="15" customHeight="1">
      <c r="A213" s="384" t="s">
        <v>514</v>
      </c>
      <c r="B213" s="390"/>
      <c r="C213" s="365" t="s">
        <v>516</v>
      </c>
      <c r="D213" s="329"/>
      <c r="E213" s="329"/>
      <c r="I213" s="259"/>
      <c r="J213" s="259"/>
      <c r="K213" s="320"/>
      <c r="L213" s="320"/>
      <c r="M213" s="320"/>
      <c r="N213" s="320"/>
      <c r="O213" s="320"/>
      <c r="P213" s="320"/>
      <c r="Q213" s="320"/>
    </row>
    <row r="214" spans="1:17" ht="15" customHeight="1">
      <c r="A214" s="389"/>
      <c r="B214" s="388" t="s">
        <v>569</v>
      </c>
      <c r="C214" s="259">
        <f>ROUND('[2]1.10.2022'!C214*($I214/100+1),2)</f>
        <v>41.28</v>
      </c>
      <c r="E214" s="329"/>
      <c r="H214" s="259"/>
      <c r="I214" s="259">
        <f>$I$1</f>
        <v>2.02</v>
      </c>
      <c r="J214" s="259"/>
      <c r="K214" s="320"/>
      <c r="L214" s="320">
        <f>(C214-'[2]1.10.2022'!C214)/'[2]1.10.2022'!C214*100</f>
        <v>2.0266930301532384</v>
      </c>
      <c r="M214" s="320"/>
      <c r="N214" s="320"/>
      <c r="O214" s="320"/>
      <c r="P214" s="320"/>
      <c r="Q214" s="320"/>
    </row>
    <row r="215" spans="1:17" ht="15" customHeight="1">
      <c r="A215" s="389"/>
      <c r="B215" s="390"/>
      <c r="C215" s="329"/>
      <c r="D215" s="329"/>
      <c r="E215" s="329"/>
      <c r="I215" s="259"/>
      <c r="J215" s="259"/>
      <c r="K215" s="320"/>
      <c r="L215" s="320"/>
      <c r="M215" s="320"/>
      <c r="N215" s="320"/>
      <c r="O215" s="320"/>
      <c r="P215" s="320"/>
      <c r="Q215" s="320"/>
    </row>
    <row r="216" spans="1:17" ht="15" customHeight="1">
      <c r="A216" s="384" t="s">
        <v>570</v>
      </c>
      <c r="B216" s="390"/>
      <c r="C216" s="329"/>
      <c r="D216" s="329"/>
      <c r="E216" s="329"/>
      <c r="I216" s="259"/>
      <c r="J216" s="259"/>
      <c r="K216" s="320"/>
      <c r="L216" s="320"/>
      <c r="M216" s="320"/>
      <c r="N216" s="320"/>
      <c r="O216" s="320"/>
      <c r="P216" s="320"/>
      <c r="Q216" s="320"/>
    </row>
    <row r="217" spans="1:17" ht="15" customHeight="1">
      <c r="A217" s="384" t="s">
        <v>542</v>
      </c>
      <c r="B217" s="390"/>
      <c r="C217" s="360" t="s">
        <v>2</v>
      </c>
      <c r="D217" s="368"/>
      <c r="E217" s="360" t="s">
        <v>3</v>
      </c>
      <c r="I217" s="259"/>
      <c r="J217" s="259"/>
      <c r="K217" s="320"/>
      <c r="L217" s="320"/>
      <c r="M217" s="320"/>
      <c r="N217" s="320"/>
      <c r="O217" s="320"/>
      <c r="P217" s="320"/>
      <c r="Q217" s="320"/>
    </row>
    <row r="218" spans="1:17" ht="15" customHeight="1">
      <c r="A218" s="387">
        <v>40904001</v>
      </c>
      <c r="B218" s="388" t="s">
        <v>571</v>
      </c>
      <c r="C218" s="259">
        <f>ROUND('[2]1.10.2022'!C218*($I218/100+1),2)</f>
        <v>3373.39</v>
      </c>
      <c r="D218" s="355"/>
      <c r="E218" s="259">
        <f>ROUND('[2]1.10.2022'!E218*($J218/100+1),2)</f>
        <v>3341.38</v>
      </c>
      <c r="I218" s="259">
        <f aca="true" t="shared" si="10" ref="I218:J229">$I$1</f>
        <v>2.02</v>
      </c>
      <c r="J218" s="259">
        <f t="shared" si="10"/>
        <v>2.02</v>
      </c>
      <c r="K218" s="320"/>
      <c r="L218" s="320">
        <f>(C218-'[2]1.10.2022'!C218)/'[2]1.10.2022'!C218*100</f>
        <v>2.019899594749893</v>
      </c>
      <c r="M218" s="320"/>
      <c r="N218" s="320">
        <f>(E218-'[2]1.10.2022'!E218)/'[2]1.10.2022'!E218*100</f>
        <v>2.0200169759588764</v>
      </c>
      <c r="O218" s="320"/>
      <c r="P218" s="320"/>
      <c r="Q218" s="320"/>
    </row>
    <row r="219" spans="1:17" ht="15" customHeight="1">
      <c r="A219" s="387">
        <v>40904002</v>
      </c>
      <c r="B219" s="388" t="s">
        <v>572</v>
      </c>
      <c r="C219" s="259">
        <f>ROUND('[2]1.10.2022'!C219*($I219/100+1),2)</f>
        <v>2937.57</v>
      </c>
      <c r="D219" s="355"/>
      <c r="E219" s="259">
        <f>ROUND('[2]1.10.2022'!E219*($J219/100+1),2)</f>
        <v>2909.7</v>
      </c>
      <c r="I219" s="259">
        <f t="shared" si="10"/>
        <v>2.02</v>
      </c>
      <c r="J219" s="259">
        <f t="shared" si="10"/>
        <v>2.02</v>
      </c>
      <c r="K219" s="320"/>
      <c r="L219" s="320">
        <f>(C219-'[2]1.10.2022'!C219)/'[2]1.10.2022'!C219*100</f>
        <v>2.019858234846733</v>
      </c>
      <c r="M219" s="320"/>
      <c r="N219" s="320">
        <f>(E219-'[2]1.10.2022'!E219)/'[2]1.10.2022'!E219*100</f>
        <v>2.0199222324681085</v>
      </c>
      <c r="O219" s="320"/>
      <c r="P219" s="320"/>
      <c r="Q219" s="320"/>
    </row>
    <row r="220" spans="1:17" ht="15" customHeight="1">
      <c r="A220" s="387">
        <v>40904003</v>
      </c>
      <c r="B220" s="388" t="s">
        <v>573</v>
      </c>
      <c r="C220" s="259">
        <f>ROUND('[2]1.10.2022'!C220*($I220/100+1),2)</f>
        <v>2743.03</v>
      </c>
      <c r="D220" s="355"/>
      <c r="E220" s="259">
        <f>ROUND('[2]1.10.2022'!E220*($J220/100+1),2)</f>
        <v>2717.06</v>
      </c>
      <c r="H220" s="259"/>
      <c r="I220" s="259">
        <f t="shared" si="10"/>
        <v>2.02</v>
      </c>
      <c r="J220" s="259">
        <f t="shared" si="10"/>
        <v>2.02</v>
      </c>
      <c r="K220" s="320"/>
      <c r="L220" s="320">
        <f>(C220-'[2]1.10.2022'!C220)/'[2]1.10.2022'!C220*100</f>
        <v>2.0199202594543277</v>
      </c>
      <c r="M220" s="320"/>
      <c r="N220" s="320">
        <f>(E220-'[2]1.10.2022'!E220)/'[2]1.10.2022'!E220*100</f>
        <v>2.0200806530342406</v>
      </c>
      <c r="O220" s="320"/>
      <c r="P220" s="320"/>
      <c r="Q220" s="320"/>
    </row>
    <row r="221" spans="1:17" ht="15" customHeight="1">
      <c r="A221" s="387">
        <v>40904008</v>
      </c>
      <c r="B221" s="388" t="s">
        <v>574</v>
      </c>
      <c r="C221" s="259">
        <f>ROUND('[2]1.10.2022'!C221*($I221/100+1),2)</f>
        <v>2678.84</v>
      </c>
      <c r="D221" s="355"/>
      <c r="E221" s="259">
        <f>ROUND('[2]1.10.2022'!E221*($J221/100+1),2)</f>
        <v>2653.4</v>
      </c>
      <c r="H221" s="259"/>
      <c r="I221" s="259">
        <f t="shared" si="10"/>
        <v>2.02</v>
      </c>
      <c r="J221" s="259">
        <f t="shared" si="10"/>
        <v>2.02</v>
      </c>
      <c r="K221" s="320"/>
      <c r="L221" s="320">
        <f>(C221-'[2]1.10.2022'!C221)/'[2]1.10.2022'!C221*100</f>
        <v>2.0199558229872787</v>
      </c>
      <c r="M221" s="320"/>
      <c r="N221" s="320">
        <f>(E221-'[2]1.10.2022'!E221)/'[2]1.10.2022'!E221*100</f>
        <v>2.0201010435009943</v>
      </c>
      <c r="O221" s="320"/>
      <c r="P221" s="320"/>
      <c r="Q221" s="320"/>
    </row>
    <row r="222" spans="1:17" ht="15" customHeight="1">
      <c r="A222" s="387">
        <v>40904005</v>
      </c>
      <c r="B222" s="388" t="s">
        <v>575</v>
      </c>
      <c r="C222" s="259">
        <f>ROUND('[2]1.10.2022'!C222*($I222/100+1),2)</f>
        <v>3067.27</v>
      </c>
      <c r="D222" s="355"/>
      <c r="E222" s="259">
        <f>ROUND('[2]1.10.2022'!E222*($J222/100+1),2)</f>
        <v>3038.17</v>
      </c>
      <c r="H222" s="259"/>
      <c r="I222" s="259">
        <f t="shared" si="10"/>
        <v>2.02</v>
      </c>
      <c r="J222" s="259">
        <f t="shared" si="10"/>
        <v>2.02</v>
      </c>
      <c r="K222" s="320"/>
      <c r="L222" s="320">
        <f>(C222-'[2]1.10.2022'!C222)/'[2]1.10.2022'!C222*100</f>
        <v>2.0199298861814583</v>
      </c>
      <c r="M222" s="320"/>
      <c r="N222" s="320">
        <f>(E222-'[2]1.10.2022'!E222)/'[2]1.10.2022'!E222*100</f>
        <v>2.020140966618643</v>
      </c>
      <c r="O222" s="320"/>
      <c r="P222" s="320"/>
      <c r="Q222" s="320"/>
    </row>
    <row r="223" spans="1:17" ht="15" customHeight="1">
      <c r="A223" s="387">
        <v>40904006</v>
      </c>
      <c r="B223" s="388" t="s">
        <v>576</v>
      </c>
      <c r="C223" s="259">
        <f>ROUND('[2]1.10.2022'!C223*($I223/100+1),2)</f>
        <v>2519.21</v>
      </c>
      <c r="D223" s="355"/>
      <c r="E223" s="259">
        <f>ROUND('[2]1.10.2022'!E223*($J223/100+1),2)</f>
        <v>2495.34</v>
      </c>
      <c r="H223" s="259"/>
      <c r="I223" s="259">
        <f t="shared" si="10"/>
        <v>2.02</v>
      </c>
      <c r="J223" s="259">
        <f t="shared" si="10"/>
        <v>2.02</v>
      </c>
      <c r="K223" s="320"/>
      <c r="L223" s="320">
        <f>(C223-'[2]1.10.2022'!C223)/'[2]1.10.2022'!C223*100</f>
        <v>2.019981128484249</v>
      </c>
      <c r="M223" s="320"/>
      <c r="N223" s="320">
        <f>(E223-'[2]1.10.2022'!E223)/'[2]1.10.2022'!E223*100</f>
        <v>2.0200905177172</v>
      </c>
      <c r="O223" s="320"/>
      <c r="P223" s="320"/>
      <c r="Q223" s="320"/>
    </row>
    <row r="224" spans="1:17" ht="15" customHeight="1">
      <c r="A224" s="387">
        <v>40907015</v>
      </c>
      <c r="B224" s="388" t="s">
        <v>577</v>
      </c>
      <c r="C224" s="259">
        <f>ROUND('[2]1.10.2022'!C224*($I224/100+1),2)</f>
        <v>3373.39</v>
      </c>
      <c r="D224" s="355"/>
      <c r="E224" s="259">
        <f>ROUND('[2]1.10.2022'!E224*($J224/100+1),2)</f>
        <v>3341.38</v>
      </c>
      <c r="H224" s="259"/>
      <c r="I224" s="259">
        <f t="shared" si="10"/>
        <v>2.02</v>
      </c>
      <c r="J224" s="259">
        <f t="shared" si="10"/>
        <v>2.02</v>
      </c>
      <c r="K224" s="320"/>
      <c r="L224" s="320">
        <f>(C224-'[2]1.10.2022'!C224)/'[2]1.10.2022'!C224*100</f>
        <v>2.019899594749893</v>
      </c>
      <c r="M224" s="320"/>
      <c r="N224" s="320">
        <f>(E224-'[2]1.10.2022'!E224)/'[2]1.10.2022'!E224*100</f>
        <v>2.0200169759588764</v>
      </c>
      <c r="O224" s="320"/>
      <c r="P224" s="320"/>
      <c r="Q224" s="320"/>
    </row>
    <row r="225" spans="1:17" ht="15" customHeight="1">
      <c r="A225" s="387">
        <v>40907016</v>
      </c>
      <c r="B225" s="388" t="s">
        <v>578</v>
      </c>
      <c r="C225" s="259">
        <f>ROUND('[2]1.10.2022'!C225*($I225/100+1),2)</f>
        <v>2937.57</v>
      </c>
      <c r="D225" s="355"/>
      <c r="E225" s="259">
        <f>ROUND('[2]1.10.2022'!E225*($J225/100+1),2)</f>
        <v>2909.7</v>
      </c>
      <c r="H225" s="259"/>
      <c r="I225" s="259">
        <f t="shared" si="10"/>
        <v>2.02</v>
      </c>
      <c r="J225" s="259">
        <f t="shared" si="10"/>
        <v>2.02</v>
      </c>
      <c r="K225" s="320"/>
      <c r="L225" s="320">
        <f>(C225-'[2]1.10.2022'!C225)/'[2]1.10.2022'!C225*100</f>
        <v>2.019858234846733</v>
      </c>
      <c r="M225" s="320"/>
      <c r="N225" s="320">
        <f>(E225-'[2]1.10.2022'!E225)/'[2]1.10.2022'!E225*100</f>
        <v>2.0199222324681085</v>
      </c>
      <c r="O225" s="320"/>
      <c r="P225" s="320"/>
      <c r="Q225" s="320"/>
    </row>
    <row r="226" spans="1:17" ht="15" customHeight="1">
      <c r="A226" s="387">
        <v>40907017</v>
      </c>
      <c r="B226" s="388" t="s">
        <v>579</v>
      </c>
      <c r="C226" s="259">
        <f>ROUND('[2]1.10.2022'!C226*($I226/100+1),2)</f>
        <v>2743.03</v>
      </c>
      <c r="D226" s="355"/>
      <c r="E226" s="259">
        <f>ROUND('[2]1.10.2022'!E226*($J226/100+1),2)</f>
        <v>2717.06</v>
      </c>
      <c r="H226" s="259"/>
      <c r="I226" s="259">
        <f t="shared" si="10"/>
        <v>2.02</v>
      </c>
      <c r="J226" s="259">
        <f t="shared" si="10"/>
        <v>2.02</v>
      </c>
      <c r="K226" s="320"/>
      <c r="L226" s="320">
        <f>(C226-'[2]1.10.2022'!C226)/'[2]1.10.2022'!C226*100</f>
        <v>2.0199202594543277</v>
      </c>
      <c r="M226" s="320"/>
      <c r="N226" s="320">
        <f>(E226-'[2]1.10.2022'!E226)/'[2]1.10.2022'!E226*100</f>
        <v>2.0200806530342406</v>
      </c>
      <c r="O226" s="320"/>
      <c r="P226" s="320"/>
      <c r="Q226" s="320"/>
    </row>
    <row r="227" spans="1:17" ht="15" customHeight="1">
      <c r="A227" s="387">
        <v>40907022</v>
      </c>
      <c r="B227" s="388" t="s">
        <v>580</v>
      </c>
      <c r="C227" s="259">
        <f>ROUND('[2]1.10.2022'!C227*($I227/100+1),2)</f>
        <v>2678.84</v>
      </c>
      <c r="D227" s="355"/>
      <c r="E227" s="259">
        <f>ROUND('[2]1.10.2022'!E227*($J227/100+1),2)</f>
        <v>2653.4</v>
      </c>
      <c r="H227" s="259"/>
      <c r="I227" s="259">
        <f t="shared" si="10"/>
        <v>2.02</v>
      </c>
      <c r="J227" s="259">
        <f t="shared" si="10"/>
        <v>2.02</v>
      </c>
      <c r="K227" s="320"/>
      <c r="L227" s="320">
        <f>(C227-'[2]1.10.2022'!C227)/'[2]1.10.2022'!C227*100</f>
        <v>2.0199558229872787</v>
      </c>
      <c r="M227" s="320"/>
      <c r="N227" s="320">
        <f>(E227-'[2]1.10.2022'!E227)/'[2]1.10.2022'!E227*100</f>
        <v>2.0201010435009943</v>
      </c>
      <c r="O227" s="320"/>
      <c r="P227" s="320"/>
      <c r="Q227" s="320"/>
    </row>
    <row r="228" spans="1:17" ht="15" customHeight="1">
      <c r="A228" s="387">
        <v>40907019</v>
      </c>
      <c r="B228" s="388" t="s">
        <v>581</v>
      </c>
      <c r="C228" s="259">
        <f>ROUND('[2]1.10.2022'!C228*($I228/100+1),2)</f>
        <v>3067.27</v>
      </c>
      <c r="D228" s="355"/>
      <c r="E228" s="259">
        <f>ROUND('[2]1.10.2022'!E228*($J228/100+1),2)</f>
        <v>3038.17</v>
      </c>
      <c r="H228" s="259"/>
      <c r="I228" s="259">
        <f t="shared" si="10"/>
        <v>2.02</v>
      </c>
      <c r="J228" s="259">
        <f t="shared" si="10"/>
        <v>2.02</v>
      </c>
      <c r="K228" s="320"/>
      <c r="L228" s="320">
        <f>(C228-'[2]1.10.2022'!C228)/'[2]1.10.2022'!C228*100</f>
        <v>2.0199298861814583</v>
      </c>
      <c r="M228" s="320"/>
      <c r="N228" s="320">
        <f>(E228-'[2]1.10.2022'!E228)/'[2]1.10.2022'!E228*100</f>
        <v>2.020140966618643</v>
      </c>
      <c r="O228" s="320"/>
      <c r="P228" s="320"/>
      <c r="Q228" s="320"/>
    </row>
    <row r="229" spans="1:17" ht="15" customHeight="1">
      <c r="A229" s="387">
        <v>40907020</v>
      </c>
      <c r="B229" s="388" t="s">
        <v>582</v>
      </c>
      <c r="C229" s="259">
        <f>ROUND('[2]1.10.2022'!C229*($I229/100+1),2)</f>
        <v>2519.21</v>
      </c>
      <c r="D229" s="355"/>
      <c r="E229" s="259">
        <f>ROUND('[2]1.10.2022'!E229*($J229/100+1),2)</f>
        <v>2495.34</v>
      </c>
      <c r="H229" s="259"/>
      <c r="I229" s="259">
        <f t="shared" si="10"/>
        <v>2.02</v>
      </c>
      <c r="J229" s="259">
        <f t="shared" si="10"/>
        <v>2.02</v>
      </c>
      <c r="K229" s="320"/>
      <c r="L229" s="320">
        <f>(C229-'[2]1.10.2022'!C229)/'[2]1.10.2022'!C229*100</f>
        <v>2.019981128484249</v>
      </c>
      <c r="M229" s="320"/>
      <c r="N229" s="320">
        <f>(E229-'[2]1.10.2022'!E229)/'[2]1.10.2022'!E229*100</f>
        <v>2.0200905177172</v>
      </c>
      <c r="O229" s="320"/>
      <c r="P229" s="320"/>
      <c r="Q229" s="320"/>
    </row>
    <row r="230" spans="1:17" ht="15" customHeight="1">
      <c r="A230" s="389"/>
      <c r="B230" s="390"/>
      <c r="C230" s="329"/>
      <c r="D230" s="371"/>
      <c r="E230" s="329"/>
      <c r="H230" s="259"/>
      <c r="I230" s="259"/>
      <c r="J230" s="259"/>
      <c r="K230" s="320"/>
      <c r="L230" s="320"/>
      <c r="M230" s="320"/>
      <c r="N230" s="320"/>
      <c r="O230" s="320"/>
      <c r="P230" s="320"/>
      <c r="Q230" s="320"/>
    </row>
    <row r="231" spans="1:17" ht="15" customHeight="1">
      <c r="A231" s="384" t="s">
        <v>583</v>
      </c>
      <c r="B231" s="390"/>
      <c r="C231" s="329"/>
      <c r="D231" s="329"/>
      <c r="E231" s="329"/>
      <c r="H231" s="259"/>
      <c r="I231" s="259"/>
      <c r="J231" s="259"/>
      <c r="K231" s="320"/>
      <c r="L231" s="320"/>
      <c r="M231" s="320"/>
      <c r="N231" s="320"/>
      <c r="O231" s="320"/>
      <c r="P231" s="320"/>
      <c r="Q231" s="320"/>
    </row>
    <row r="232" spans="1:17" ht="15" customHeight="1">
      <c r="A232" s="384" t="s">
        <v>542</v>
      </c>
      <c r="B232" s="390"/>
      <c r="C232" s="360" t="s">
        <v>2</v>
      </c>
      <c r="D232" s="368"/>
      <c r="E232" s="360" t="s">
        <v>3</v>
      </c>
      <c r="I232" s="259"/>
      <c r="J232" s="259"/>
      <c r="K232" s="320"/>
      <c r="L232" s="320"/>
      <c r="M232" s="320"/>
      <c r="N232" s="320"/>
      <c r="O232" s="320"/>
      <c r="P232" s="320"/>
      <c r="Q232" s="320"/>
    </row>
    <row r="233" spans="1:17" ht="15" customHeight="1">
      <c r="A233" s="387">
        <v>41404003</v>
      </c>
      <c r="B233" s="388" t="s">
        <v>427</v>
      </c>
      <c r="C233" s="259">
        <f>ROUND('[2]1.10.2022'!C233*($I233/100+1),2)</f>
        <v>3192.2</v>
      </c>
      <c r="D233" s="355"/>
      <c r="E233" s="259">
        <f>ROUND('[2]1.10.2022'!E233*($J233/100+1),2)</f>
        <v>3161.89</v>
      </c>
      <c r="I233" s="259">
        <f aca="true" t="shared" si="11" ref="I233:J238">$I$1</f>
        <v>2.02</v>
      </c>
      <c r="J233" s="259">
        <f t="shared" si="11"/>
        <v>2.02</v>
      </c>
      <c r="K233" s="320"/>
      <c r="L233" s="320">
        <f>(C233-'[2]1.10.2022'!C233)/'[2]1.10.2022'!C233*100</f>
        <v>2.020140684374192</v>
      </c>
      <c r="M233" s="320"/>
      <c r="N233" s="320">
        <f>(E233-'[2]1.10.2022'!E233)/'[2]1.10.2022'!E233*100</f>
        <v>2.0201466146975964</v>
      </c>
      <c r="O233" s="320"/>
      <c r="P233" s="320"/>
      <c r="Q233" s="320"/>
    </row>
    <row r="234" spans="1:17" ht="15" customHeight="1">
      <c r="A234" s="387">
        <v>41404004</v>
      </c>
      <c r="B234" s="388" t="s">
        <v>584</v>
      </c>
      <c r="C234" s="259">
        <f>ROUND('[2]1.10.2022'!C234*($I234/100+1),2)</f>
        <v>2831.16</v>
      </c>
      <c r="D234" s="355"/>
      <c r="E234" s="259">
        <f>ROUND('[2]1.10.2022'!E234*($J234/100+1),2)</f>
        <v>2804.33</v>
      </c>
      <c r="I234" s="259">
        <f t="shared" si="11"/>
        <v>2.02</v>
      </c>
      <c r="J234" s="259">
        <f t="shared" si="11"/>
        <v>2.02</v>
      </c>
      <c r="K234" s="320"/>
      <c r="L234" s="320">
        <f>(C234-'[2]1.10.2022'!C234)/'[2]1.10.2022'!C234*100</f>
        <v>2.020107383517709</v>
      </c>
      <c r="M234" s="320"/>
      <c r="N234" s="320">
        <f>(E234-'[2]1.10.2022'!E234)/'[2]1.10.2022'!E234*100</f>
        <v>2.0201542491268825</v>
      </c>
      <c r="O234" s="320"/>
      <c r="P234" s="320"/>
      <c r="Q234" s="320"/>
    </row>
    <row r="235" spans="1:17" ht="15" customHeight="1">
      <c r="A235" s="387">
        <v>41404005</v>
      </c>
      <c r="B235" s="388" t="s">
        <v>585</v>
      </c>
      <c r="C235" s="259">
        <f>ROUND('[2]1.10.2022'!C235*($I235/100+1),2)</f>
        <v>2544</v>
      </c>
      <c r="D235" s="355"/>
      <c r="E235" s="259">
        <f>ROUND('[2]1.10.2022'!E235*($J235/100+1),2)</f>
        <v>2519.84</v>
      </c>
      <c r="H235" s="259"/>
      <c r="I235" s="259">
        <f t="shared" si="11"/>
        <v>2.02</v>
      </c>
      <c r="J235" s="259">
        <f t="shared" si="11"/>
        <v>2.02</v>
      </c>
      <c r="K235" s="320"/>
      <c r="L235" s="320">
        <f>(C235-'[2]1.10.2022'!C235)/'[2]1.10.2022'!C235*100</f>
        <v>2.019946824508844</v>
      </c>
      <c r="M235" s="320"/>
      <c r="N235" s="320">
        <f>(E235-'[2]1.10.2022'!E235)/'[2]1.10.2022'!E235*100</f>
        <v>2.019878944917927</v>
      </c>
      <c r="O235" s="320"/>
      <c r="P235" s="320"/>
      <c r="Q235" s="320"/>
    </row>
    <row r="236" spans="1:17" ht="15" customHeight="1">
      <c r="A236" s="387">
        <v>41407011</v>
      </c>
      <c r="B236" s="388" t="s">
        <v>428</v>
      </c>
      <c r="C236" s="259">
        <f>ROUND('[2]1.10.2022'!C236*($I236/100+1),2)</f>
        <v>3192.2</v>
      </c>
      <c r="D236" s="355"/>
      <c r="E236" s="259">
        <f>ROUND('[2]1.10.2022'!E236*($J236/100+1),2)</f>
        <v>3161.89</v>
      </c>
      <c r="H236" s="259"/>
      <c r="I236" s="259">
        <f t="shared" si="11"/>
        <v>2.02</v>
      </c>
      <c r="J236" s="259">
        <f t="shared" si="11"/>
        <v>2.02</v>
      </c>
      <c r="K236" s="320"/>
      <c r="L236" s="320">
        <f>(C236-'[2]1.10.2022'!C236)/'[2]1.10.2022'!C236*100</f>
        <v>2.020140684374192</v>
      </c>
      <c r="M236" s="320"/>
      <c r="N236" s="320">
        <f>(E236-'[2]1.10.2022'!E236)/'[2]1.10.2022'!E236*100</f>
        <v>2.0201466146975964</v>
      </c>
      <c r="O236" s="320"/>
      <c r="P236" s="320"/>
      <c r="Q236" s="320"/>
    </row>
    <row r="237" spans="1:17" ht="15" customHeight="1">
      <c r="A237" s="387">
        <v>41407012</v>
      </c>
      <c r="B237" s="388" t="s">
        <v>586</v>
      </c>
      <c r="C237" s="259">
        <f>ROUND('[2]1.10.2022'!C237*($I237/100+1),2)</f>
        <v>2831.16</v>
      </c>
      <c r="D237" s="355"/>
      <c r="E237" s="259">
        <f>ROUND('[2]1.10.2022'!E237*($J237/100+1),2)</f>
        <v>2804.33</v>
      </c>
      <c r="H237" s="259"/>
      <c r="I237" s="259">
        <f t="shared" si="11"/>
        <v>2.02</v>
      </c>
      <c r="J237" s="259">
        <f t="shared" si="11"/>
        <v>2.02</v>
      </c>
      <c r="K237" s="320"/>
      <c r="L237" s="320">
        <f>(C237-'[2]1.10.2022'!C237)/'[2]1.10.2022'!C237*100</f>
        <v>2.020107383517709</v>
      </c>
      <c r="M237" s="320"/>
      <c r="N237" s="320">
        <f>(E237-'[2]1.10.2022'!E237)/'[2]1.10.2022'!E237*100</f>
        <v>2.0201542491268825</v>
      </c>
      <c r="O237" s="320"/>
      <c r="P237" s="320"/>
      <c r="Q237" s="320"/>
    </row>
    <row r="238" spans="1:17" ht="15" customHeight="1">
      <c r="A238" s="387">
        <v>41407013</v>
      </c>
      <c r="B238" s="388" t="s">
        <v>587</v>
      </c>
      <c r="C238" s="259">
        <f>ROUND('[2]1.10.2022'!C238*($I238/100+1),2)</f>
        <v>2544</v>
      </c>
      <c r="D238" s="355"/>
      <c r="E238" s="259">
        <f>ROUND('[2]1.10.2022'!E238*($J238/100+1),2)</f>
        <v>2519.84</v>
      </c>
      <c r="H238" s="259"/>
      <c r="I238" s="259">
        <f t="shared" si="11"/>
        <v>2.02</v>
      </c>
      <c r="J238" s="259">
        <f t="shared" si="11"/>
        <v>2.02</v>
      </c>
      <c r="K238" s="320"/>
      <c r="L238" s="320">
        <f>(C238-'[2]1.10.2022'!C238)/'[2]1.10.2022'!C238*100</f>
        <v>2.019946824508844</v>
      </c>
      <c r="M238" s="320"/>
      <c r="N238" s="320">
        <f>(E238-'[2]1.10.2022'!E238)/'[2]1.10.2022'!E238*100</f>
        <v>2.019878944917927</v>
      </c>
      <c r="O238" s="320"/>
      <c r="P238" s="320"/>
      <c r="Q238" s="320"/>
    </row>
    <row r="239" spans="1:17" ht="15" customHeight="1">
      <c r="A239" s="389"/>
      <c r="B239" s="390"/>
      <c r="C239" s="329"/>
      <c r="D239" s="371"/>
      <c r="E239" s="329"/>
      <c r="H239" s="259"/>
      <c r="I239" s="259"/>
      <c r="J239" s="259"/>
      <c r="K239" s="320"/>
      <c r="L239" s="320"/>
      <c r="M239" s="320"/>
      <c r="N239" s="320"/>
      <c r="O239" s="320"/>
      <c r="P239" s="320"/>
      <c r="Q239" s="320"/>
    </row>
    <row r="240" spans="1:17" ht="15" customHeight="1">
      <c r="A240" s="384" t="s">
        <v>588</v>
      </c>
      <c r="B240" s="390"/>
      <c r="C240" s="329"/>
      <c r="D240" s="329"/>
      <c r="E240" s="329"/>
      <c r="H240" s="259"/>
      <c r="I240" s="259"/>
      <c r="J240" s="259"/>
      <c r="K240" s="320"/>
      <c r="L240" s="320"/>
      <c r="M240" s="320"/>
      <c r="N240" s="320"/>
      <c r="O240" s="320"/>
      <c r="P240" s="320"/>
      <c r="Q240" s="320"/>
    </row>
    <row r="241" spans="1:17" ht="15" customHeight="1">
      <c r="A241" s="384" t="s">
        <v>542</v>
      </c>
      <c r="B241" s="390"/>
      <c r="C241" s="360" t="s">
        <v>2</v>
      </c>
      <c r="D241" s="368"/>
      <c r="E241" s="360" t="s">
        <v>3</v>
      </c>
      <c r="I241" s="259"/>
      <c r="J241" s="259"/>
      <c r="K241" s="320"/>
      <c r="L241" s="320"/>
      <c r="M241" s="320"/>
      <c r="N241" s="320"/>
      <c r="O241" s="320"/>
      <c r="P241" s="320"/>
      <c r="Q241" s="320"/>
    </row>
    <row r="242" spans="1:17" ht="15" customHeight="1">
      <c r="A242" s="387">
        <v>41804002</v>
      </c>
      <c r="B242" s="388" t="s">
        <v>589</v>
      </c>
      <c r="C242" s="259">
        <f>ROUND('[2]1.10.2022'!C242*($I242/100+1),2)</f>
        <v>2664.71</v>
      </c>
      <c r="D242" s="355"/>
      <c r="E242" s="259">
        <f>ROUND('[2]1.10.2022'!E242*($J242/100+1),2)</f>
        <v>2639.42</v>
      </c>
      <c r="I242" s="259">
        <f aca="true" t="shared" si="12" ref="I242:J253">$I$1</f>
        <v>2.02</v>
      </c>
      <c r="J242" s="259">
        <f t="shared" si="12"/>
        <v>2.02</v>
      </c>
      <c r="K242" s="320"/>
      <c r="L242" s="320">
        <f>(C242-'[2]1.10.2022'!C242)/'[2]1.10.2022'!C242*100</f>
        <v>2.0199467830548143</v>
      </c>
      <c r="M242" s="320"/>
      <c r="N242" s="320">
        <f>(E242-'[2]1.10.2022'!E242)/'[2]1.10.2022'!E242*100</f>
        <v>2.0199755716693293</v>
      </c>
      <c r="O242" s="320"/>
      <c r="P242" s="320"/>
      <c r="Q242" s="320"/>
    </row>
    <row r="243" spans="1:17" ht="15" customHeight="1">
      <c r="A243" s="387">
        <v>41804003</v>
      </c>
      <c r="B243" s="388" t="s">
        <v>590</v>
      </c>
      <c r="C243" s="259">
        <f>ROUND('[2]1.10.2022'!C243*($I243/100+1),2)</f>
        <v>2527.97</v>
      </c>
      <c r="D243" s="355"/>
      <c r="E243" s="259">
        <f>ROUND('[2]1.10.2022'!E243*($J243/100+1),2)</f>
        <v>2504.01</v>
      </c>
      <c r="I243" s="259">
        <f t="shared" si="12"/>
        <v>2.02</v>
      </c>
      <c r="J243" s="259">
        <f t="shared" si="12"/>
        <v>2.02</v>
      </c>
      <c r="K243" s="320"/>
      <c r="L243" s="320">
        <f>(C243-'[2]1.10.2022'!C243)/'[2]1.10.2022'!C243*100</f>
        <v>2.019839219990949</v>
      </c>
      <c r="M243" s="320"/>
      <c r="N243" s="320">
        <f>(E243-'[2]1.10.2022'!E243)/'[2]1.10.2022'!E243*100</f>
        <v>2.0200209417257935</v>
      </c>
      <c r="O243" s="320"/>
      <c r="P243" s="320"/>
      <c r="Q243" s="320"/>
    </row>
    <row r="244" spans="1:17" ht="15" customHeight="1">
      <c r="A244" s="387">
        <v>41804004</v>
      </c>
      <c r="B244" s="388" t="s">
        <v>591</v>
      </c>
      <c r="C244" s="259">
        <f>ROUND('[2]1.10.2022'!C244*($I244/100+1),2)</f>
        <v>2510.34</v>
      </c>
      <c r="D244" s="355"/>
      <c r="E244" s="259">
        <f>ROUND('[2]1.10.2022'!E244*($J244/100+1),2)</f>
        <v>2486.53</v>
      </c>
      <c r="H244" s="259"/>
      <c r="I244" s="259">
        <f t="shared" si="12"/>
        <v>2.02</v>
      </c>
      <c r="J244" s="259">
        <f t="shared" si="12"/>
        <v>2.02</v>
      </c>
      <c r="K244" s="320"/>
      <c r="L244" s="320">
        <f>(C244-'[2]1.10.2022'!C244)/'[2]1.10.2022'!C244*100</f>
        <v>2.0197997269003296</v>
      </c>
      <c r="M244" s="320"/>
      <c r="N244" s="320">
        <f>(E244-'[2]1.10.2022'!E244)/'[2]1.10.2022'!E244*100</f>
        <v>2.019858039634022</v>
      </c>
      <c r="O244" s="320"/>
      <c r="P244" s="320"/>
      <c r="Q244" s="320"/>
    </row>
    <row r="245" spans="1:17" ht="15" customHeight="1">
      <c r="A245" s="387">
        <v>41804005</v>
      </c>
      <c r="B245" s="388" t="s">
        <v>592</v>
      </c>
      <c r="C245" s="259">
        <f>ROUND('[2]1.10.2022'!C245*($I245/100+1),2)</f>
        <v>2292.49</v>
      </c>
      <c r="D245" s="355"/>
      <c r="E245" s="259">
        <f>ROUND('[2]1.10.2022'!E245*($J245/100+1),2)</f>
        <v>2271.18</v>
      </c>
      <c r="H245" s="259"/>
      <c r="I245" s="259">
        <f t="shared" si="12"/>
        <v>2.02</v>
      </c>
      <c r="J245" s="259">
        <f t="shared" si="12"/>
        <v>2.02</v>
      </c>
      <c r="K245" s="320"/>
      <c r="L245" s="320">
        <f>(C245-'[2]1.10.2022'!C245)/'[2]1.10.2022'!C245*100</f>
        <v>2.019936807440696</v>
      </c>
      <c r="M245" s="320"/>
      <c r="N245" s="320">
        <f>(E245-'[2]1.10.2022'!E245)/'[2]1.10.2022'!E245*100</f>
        <v>2.0200250650208114</v>
      </c>
      <c r="O245" s="320"/>
      <c r="P245" s="320"/>
      <c r="Q245" s="320"/>
    </row>
    <row r="246" spans="1:17" ht="15" customHeight="1">
      <c r="A246" s="387">
        <v>41804008</v>
      </c>
      <c r="B246" s="388" t="s">
        <v>593</v>
      </c>
      <c r="C246" s="259">
        <f>ROUND('[2]1.10.2022'!C246*($I246/100+1),2)</f>
        <v>2664.71</v>
      </c>
      <c r="D246" s="355"/>
      <c r="E246" s="259">
        <f>ROUND('[2]1.10.2022'!E246*($J246/100+1),2)</f>
        <v>2639.42</v>
      </c>
      <c r="H246" s="259"/>
      <c r="I246" s="259">
        <f t="shared" si="12"/>
        <v>2.02</v>
      </c>
      <c r="J246" s="259">
        <f t="shared" si="12"/>
        <v>2.02</v>
      </c>
      <c r="K246" s="320"/>
      <c r="L246" s="320">
        <f>(C246-'[2]1.10.2022'!C246)/'[2]1.10.2022'!C246*100</f>
        <v>2.0199467830548143</v>
      </c>
      <c r="M246" s="320"/>
      <c r="N246" s="320">
        <f>(E246-'[2]1.10.2022'!E246)/'[2]1.10.2022'!E246*100</f>
        <v>2.0199755716693293</v>
      </c>
      <c r="O246" s="320"/>
      <c r="P246" s="320"/>
      <c r="Q246" s="320"/>
    </row>
    <row r="247" spans="1:17" ht="15" customHeight="1">
      <c r="A247" s="387">
        <v>41804009</v>
      </c>
      <c r="B247" s="388" t="s">
        <v>594</v>
      </c>
      <c r="C247" s="259">
        <f>ROUND('[2]1.10.2022'!C247*($I247/100+1),2)</f>
        <v>2510.34</v>
      </c>
      <c r="D247" s="355"/>
      <c r="E247" s="259">
        <f>ROUND('[2]1.10.2022'!E247*($J247/100+1),2)</f>
        <v>2486.53</v>
      </c>
      <c r="H247" s="259"/>
      <c r="I247" s="259">
        <f t="shared" si="12"/>
        <v>2.02</v>
      </c>
      <c r="J247" s="259">
        <f t="shared" si="12"/>
        <v>2.02</v>
      </c>
      <c r="K247" s="320"/>
      <c r="L247" s="320">
        <f>(C247-'[2]1.10.2022'!C247)/'[2]1.10.2022'!C247*100</f>
        <v>2.0197997269003296</v>
      </c>
      <c r="M247" s="320"/>
      <c r="N247" s="320">
        <f>(E247-'[2]1.10.2022'!E247)/'[2]1.10.2022'!E247*100</f>
        <v>2.019858039634022</v>
      </c>
      <c r="O247" s="320"/>
      <c r="P247" s="320"/>
      <c r="Q247" s="320"/>
    </row>
    <row r="248" spans="1:17" ht="15" customHeight="1">
      <c r="A248" s="387">
        <v>41807002</v>
      </c>
      <c r="B248" s="388" t="s">
        <v>595</v>
      </c>
      <c r="C248" s="259">
        <f>ROUND('[2]1.10.2022'!C248*($I248/100+1),2)</f>
        <v>2664.71</v>
      </c>
      <c r="D248" s="355"/>
      <c r="E248" s="259">
        <f>ROUND('[2]1.10.2022'!E248*($J248/100+1),2)</f>
        <v>2639.42</v>
      </c>
      <c r="H248" s="259"/>
      <c r="I248" s="259">
        <f t="shared" si="12"/>
        <v>2.02</v>
      </c>
      <c r="J248" s="259">
        <f t="shared" si="12"/>
        <v>2.02</v>
      </c>
      <c r="K248" s="320"/>
      <c r="L248" s="320">
        <f>(C248-'[2]1.10.2022'!C248)/'[2]1.10.2022'!C248*100</f>
        <v>2.0199467830548143</v>
      </c>
      <c r="M248" s="320"/>
      <c r="N248" s="320">
        <f>(E248-'[2]1.10.2022'!E248)/'[2]1.10.2022'!E248*100</f>
        <v>2.0199755716693293</v>
      </c>
      <c r="O248" s="320"/>
      <c r="P248" s="320"/>
      <c r="Q248" s="320"/>
    </row>
    <row r="249" spans="1:17" ht="15" customHeight="1">
      <c r="A249" s="387">
        <v>41807003</v>
      </c>
      <c r="B249" s="388" t="s">
        <v>596</v>
      </c>
      <c r="C249" s="259">
        <f>ROUND('[2]1.10.2022'!C249*($I249/100+1),2)</f>
        <v>2527.97</v>
      </c>
      <c r="D249" s="355"/>
      <c r="E249" s="259">
        <f>ROUND('[2]1.10.2022'!E249*($J249/100+1),2)</f>
        <v>2504.01</v>
      </c>
      <c r="H249" s="259"/>
      <c r="I249" s="259">
        <f t="shared" si="12"/>
        <v>2.02</v>
      </c>
      <c r="J249" s="259">
        <f t="shared" si="12"/>
        <v>2.02</v>
      </c>
      <c r="K249" s="320"/>
      <c r="L249" s="320">
        <f>(C249-'[2]1.10.2022'!C249)/'[2]1.10.2022'!C249*100</f>
        <v>2.019839219990949</v>
      </c>
      <c r="M249" s="320"/>
      <c r="N249" s="320">
        <f>(E249-'[2]1.10.2022'!E249)/'[2]1.10.2022'!E249*100</f>
        <v>2.0200209417257935</v>
      </c>
      <c r="O249" s="320"/>
      <c r="P249" s="320"/>
      <c r="Q249" s="320"/>
    </row>
    <row r="250" spans="1:17" ht="15" customHeight="1">
      <c r="A250" s="387">
        <v>41807004</v>
      </c>
      <c r="B250" s="388" t="s">
        <v>579</v>
      </c>
      <c r="C250" s="259">
        <f>ROUND('[2]1.10.2022'!C250*($I250/100+1),2)</f>
        <v>2510.34</v>
      </c>
      <c r="D250" s="355"/>
      <c r="E250" s="259">
        <f>ROUND('[2]1.10.2022'!E250*($J250/100+1),2)</f>
        <v>2486.53</v>
      </c>
      <c r="H250" s="259"/>
      <c r="I250" s="259">
        <f t="shared" si="12"/>
        <v>2.02</v>
      </c>
      <c r="J250" s="259">
        <f t="shared" si="12"/>
        <v>2.02</v>
      </c>
      <c r="K250" s="320"/>
      <c r="L250" s="320">
        <f>(C250-'[2]1.10.2022'!C250)/'[2]1.10.2022'!C250*100</f>
        <v>2.0197997269003296</v>
      </c>
      <c r="M250" s="320"/>
      <c r="N250" s="320">
        <f>(E250-'[2]1.10.2022'!E250)/'[2]1.10.2022'!E250*100</f>
        <v>2.019858039634022</v>
      </c>
      <c r="O250" s="320"/>
      <c r="P250" s="320"/>
      <c r="Q250" s="320"/>
    </row>
    <row r="251" spans="1:17" ht="15" customHeight="1">
      <c r="A251" s="387">
        <v>41807005</v>
      </c>
      <c r="B251" s="388" t="s">
        <v>597</v>
      </c>
      <c r="C251" s="259">
        <f>ROUND('[2]1.10.2022'!C251*($I251/100+1),2)</f>
        <v>2292.49</v>
      </c>
      <c r="D251" s="355"/>
      <c r="E251" s="259">
        <f>ROUND('[2]1.10.2022'!E251*($J251/100+1),2)</f>
        <v>2271.18</v>
      </c>
      <c r="H251" s="259"/>
      <c r="I251" s="259">
        <f t="shared" si="12"/>
        <v>2.02</v>
      </c>
      <c r="J251" s="259">
        <f t="shared" si="12"/>
        <v>2.02</v>
      </c>
      <c r="K251" s="320"/>
      <c r="L251" s="320">
        <f>(C251-'[2]1.10.2022'!C251)/'[2]1.10.2022'!C251*100</f>
        <v>2.019936807440696</v>
      </c>
      <c r="M251" s="320"/>
      <c r="N251" s="320">
        <f>(E251-'[2]1.10.2022'!E251)/'[2]1.10.2022'!E251*100</f>
        <v>2.0200250650208114</v>
      </c>
      <c r="O251" s="320"/>
      <c r="P251" s="320"/>
      <c r="Q251" s="320"/>
    </row>
    <row r="252" spans="1:17" ht="15" customHeight="1">
      <c r="A252" s="387">
        <v>41807008</v>
      </c>
      <c r="B252" s="388" t="s">
        <v>581</v>
      </c>
      <c r="C252" s="259">
        <f>ROUND('[2]1.10.2022'!C252*($I252/100+1),2)</f>
        <v>2664.71</v>
      </c>
      <c r="D252" s="355"/>
      <c r="E252" s="259">
        <f>ROUND('[2]1.10.2022'!E252*($J252/100+1),2)</f>
        <v>2639.42</v>
      </c>
      <c r="H252" s="259"/>
      <c r="I252" s="259">
        <f t="shared" si="12"/>
        <v>2.02</v>
      </c>
      <c r="J252" s="259">
        <f t="shared" si="12"/>
        <v>2.02</v>
      </c>
      <c r="K252" s="320"/>
      <c r="L252" s="320">
        <f>(C252-'[2]1.10.2022'!C252)/'[2]1.10.2022'!C252*100</f>
        <v>2.0199467830548143</v>
      </c>
      <c r="M252" s="320"/>
      <c r="N252" s="320">
        <f>(E252-'[2]1.10.2022'!E252)/'[2]1.10.2022'!E252*100</f>
        <v>2.0199755716693293</v>
      </c>
      <c r="O252" s="320"/>
      <c r="P252" s="320"/>
      <c r="Q252" s="320"/>
    </row>
    <row r="253" spans="1:17" ht="15" customHeight="1">
      <c r="A253" s="387">
        <v>41807009</v>
      </c>
      <c r="B253" s="388" t="s">
        <v>598</v>
      </c>
      <c r="C253" s="259">
        <f>ROUND('[2]1.10.2022'!C253*($I253/100+1),2)</f>
        <v>2510.34</v>
      </c>
      <c r="D253" s="355"/>
      <c r="E253" s="259">
        <f>ROUND('[2]1.10.2022'!E253*($J253/100+1),2)</f>
        <v>2486.53</v>
      </c>
      <c r="H253" s="259"/>
      <c r="I253" s="259">
        <f t="shared" si="12"/>
        <v>2.02</v>
      </c>
      <c r="J253" s="259">
        <f t="shared" si="12"/>
        <v>2.02</v>
      </c>
      <c r="K253" s="320"/>
      <c r="L253" s="320">
        <f>(C253-'[2]1.10.2022'!C253)/'[2]1.10.2022'!C253*100</f>
        <v>2.0197997269003296</v>
      </c>
      <c r="M253" s="320"/>
      <c r="N253" s="320">
        <f>(E253-'[2]1.10.2022'!E253)/'[2]1.10.2022'!E253*100</f>
        <v>2.019858039634022</v>
      </c>
      <c r="O253" s="320"/>
      <c r="P253" s="320"/>
      <c r="Q253" s="320"/>
    </row>
    <row r="254" spans="1:17" ht="15" customHeight="1">
      <c r="A254" s="389"/>
      <c r="B254" s="390"/>
      <c r="C254" s="329"/>
      <c r="D254" s="259"/>
      <c r="E254" s="329"/>
      <c r="H254" s="259"/>
      <c r="I254" s="259"/>
      <c r="J254" s="259"/>
      <c r="K254" s="320"/>
      <c r="L254" s="320"/>
      <c r="M254" s="320"/>
      <c r="N254" s="320"/>
      <c r="O254" s="320"/>
      <c r="P254" s="320"/>
      <c r="Q254" s="320"/>
    </row>
    <row r="255" spans="1:17" ht="15" customHeight="1">
      <c r="A255" s="384" t="s">
        <v>599</v>
      </c>
      <c r="B255" s="386"/>
      <c r="C255" s="391"/>
      <c r="D255" s="329"/>
      <c r="E255" s="391"/>
      <c r="H255" s="259"/>
      <c r="I255" s="259"/>
      <c r="J255" s="259"/>
      <c r="K255" s="320"/>
      <c r="L255" s="320"/>
      <c r="M255" s="320"/>
      <c r="N255" s="320"/>
      <c r="O255" s="320"/>
      <c r="P255" s="320"/>
      <c r="Q255" s="320"/>
    </row>
    <row r="256" spans="1:17" ht="15" customHeight="1">
      <c r="A256" s="384" t="s">
        <v>542</v>
      </c>
      <c r="B256" s="386"/>
      <c r="C256" s="360" t="s">
        <v>2</v>
      </c>
      <c r="D256" s="360"/>
      <c r="E256" s="360" t="s">
        <v>3</v>
      </c>
      <c r="I256" s="259"/>
      <c r="J256" s="259"/>
      <c r="K256" s="320"/>
      <c r="L256" s="320"/>
      <c r="M256" s="320"/>
      <c r="N256" s="320"/>
      <c r="O256" s="320"/>
      <c r="P256" s="320"/>
      <c r="Q256" s="320"/>
    </row>
    <row r="257" spans="1:17" ht="15" customHeight="1">
      <c r="A257" s="387">
        <v>41604005</v>
      </c>
      <c r="B257" s="388" t="s">
        <v>427</v>
      </c>
      <c r="C257" s="259">
        <f>ROUND('[2]1.10.2022'!C257*($I257/100+1),2)</f>
        <v>3509.4</v>
      </c>
      <c r="D257" s="355"/>
      <c r="E257" s="259">
        <f>ROUND('[2]1.10.2022'!E257*($J257/100+1),2)</f>
        <v>3475.73</v>
      </c>
      <c r="F257" s="240"/>
      <c r="G257" s="240"/>
      <c r="H257" s="240"/>
      <c r="I257" s="259">
        <f aca="true" t="shared" si="13" ref="I257:J260">$I$1</f>
        <v>2.02</v>
      </c>
      <c r="J257" s="259">
        <f t="shared" si="13"/>
        <v>2.02</v>
      </c>
      <c r="K257" s="320"/>
      <c r="L257" s="320">
        <f>(C257-'[2]1.10.2022'!C257)/'[2]1.10.2022'!C257*100</f>
        <v>2.0201109912759416</v>
      </c>
      <c r="M257" s="320"/>
      <c r="N257" s="320">
        <f>(E257-'[2]1.10.2022'!E257)/'[2]1.10.2022'!E257*100</f>
        <v>2.0200122691823434</v>
      </c>
      <c r="O257" s="320"/>
      <c r="P257" s="320"/>
      <c r="Q257" s="320"/>
    </row>
    <row r="258" spans="1:17" ht="15" customHeight="1">
      <c r="A258" s="387">
        <v>41604006</v>
      </c>
      <c r="B258" s="388" t="s">
        <v>600</v>
      </c>
      <c r="C258" s="259">
        <f>ROUND('[2]1.10.2022'!C258*($I258/100+1),2)</f>
        <v>3341.26</v>
      </c>
      <c r="D258" s="355"/>
      <c r="E258" s="259">
        <f>ROUND('[2]1.10.2022'!E258*($J258/100+1),2)</f>
        <v>3309.15</v>
      </c>
      <c r="F258" s="240"/>
      <c r="G258" s="240"/>
      <c r="H258" s="240"/>
      <c r="I258" s="259">
        <f t="shared" si="13"/>
        <v>2.02</v>
      </c>
      <c r="J258" s="259">
        <f t="shared" si="13"/>
        <v>2.02</v>
      </c>
      <c r="K258" s="320"/>
      <c r="L258" s="320">
        <f>(C258-'[2]1.10.2022'!C258)/'[2]1.10.2022'!C258*100</f>
        <v>2.0200909895881134</v>
      </c>
      <c r="M258" s="320"/>
      <c r="N258" s="320">
        <f>(E258-'[2]1.10.2022'!E258)/'[2]1.10.2022'!E258*100</f>
        <v>2.0199591198749545</v>
      </c>
      <c r="O258" s="320"/>
      <c r="P258" s="320"/>
      <c r="Q258" s="320"/>
    </row>
    <row r="259" spans="1:17" ht="15" customHeight="1">
      <c r="A259" s="387">
        <v>41607005</v>
      </c>
      <c r="B259" s="388" t="s">
        <v>601</v>
      </c>
      <c r="C259" s="259">
        <f>ROUND('[2]1.10.2022'!C259*($I259/100+1),2)</f>
        <v>3509.4</v>
      </c>
      <c r="D259" s="355"/>
      <c r="E259" s="259">
        <f>ROUND('[2]1.10.2022'!E259*($J259/100+1),2)</f>
        <v>3475.73</v>
      </c>
      <c r="H259" s="259"/>
      <c r="I259" s="259">
        <f t="shared" si="13"/>
        <v>2.02</v>
      </c>
      <c r="J259" s="259">
        <f t="shared" si="13"/>
        <v>2.02</v>
      </c>
      <c r="K259" s="320"/>
      <c r="L259" s="320">
        <f>(C259-'[2]1.10.2022'!C259)/'[2]1.10.2022'!C259*100</f>
        <v>2.0201109912759416</v>
      </c>
      <c r="M259" s="320"/>
      <c r="N259" s="320">
        <f>(E259-'[2]1.10.2022'!E259)/'[2]1.10.2022'!E259*100</f>
        <v>2.0200122691823434</v>
      </c>
      <c r="O259" s="320"/>
      <c r="P259" s="320"/>
      <c r="Q259" s="320"/>
    </row>
    <row r="260" spans="1:17" ht="15" customHeight="1">
      <c r="A260" s="387">
        <v>41607006</v>
      </c>
      <c r="B260" s="388" t="s">
        <v>602</v>
      </c>
      <c r="C260" s="259">
        <f>ROUND('[2]1.10.2022'!C260*($I260/100+1),2)</f>
        <v>3341.26</v>
      </c>
      <c r="D260" s="355"/>
      <c r="E260" s="259">
        <f>ROUND('[2]1.10.2022'!E260*($J260/100+1),2)</f>
        <v>3309.15</v>
      </c>
      <c r="H260" s="259"/>
      <c r="I260" s="259">
        <f t="shared" si="13"/>
        <v>2.02</v>
      </c>
      <c r="J260" s="259">
        <f t="shared" si="13"/>
        <v>2.02</v>
      </c>
      <c r="K260" s="320"/>
      <c r="L260" s="320">
        <f>(C260-'[2]1.10.2022'!C260)/'[2]1.10.2022'!C260*100</f>
        <v>2.0200909895881134</v>
      </c>
      <c r="M260" s="320"/>
      <c r="N260" s="320">
        <f>(E260-'[2]1.10.2022'!E260)/'[2]1.10.2022'!E260*100</f>
        <v>2.0199591198749545</v>
      </c>
      <c r="O260" s="320"/>
      <c r="P260" s="320"/>
      <c r="Q260" s="320"/>
    </row>
    <row r="261" spans="1:17" ht="15" customHeight="1">
      <c r="A261" s="392"/>
      <c r="B261" s="390"/>
      <c r="H261" s="259"/>
      <c r="I261" s="259"/>
      <c r="J261" s="259"/>
      <c r="K261" s="320"/>
      <c r="L261" s="320"/>
      <c r="M261" s="320"/>
      <c r="N261" s="320"/>
      <c r="O261" s="320"/>
      <c r="P261" s="320"/>
      <c r="Q261" s="320"/>
    </row>
    <row r="262" spans="1:17" ht="15" customHeight="1">
      <c r="A262" s="384" t="s">
        <v>603</v>
      </c>
      <c r="B262" s="390"/>
      <c r="C262" s="329"/>
      <c r="E262" s="329"/>
      <c r="H262" s="259"/>
      <c r="I262" s="259"/>
      <c r="J262" s="259"/>
      <c r="K262" s="320"/>
      <c r="L262" s="320"/>
      <c r="M262" s="320"/>
      <c r="N262" s="320"/>
      <c r="O262" s="320"/>
      <c r="P262" s="320"/>
      <c r="Q262" s="320"/>
    </row>
    <row r="263" spans="1:17" ht="15" customHeight="1">
      <c r="A263" s="384" t="s">
        <v>542</v>
      </c>
      <c r="B263" s="390"/>
      <c r="C263" s="360" t="s">
        <v>2</v>
      </c>
      <c r="D263" s="360"/>
      <c r="E263" s="360" t="s">
        <v>3</v>
      </c>
      <c r="I263" s="259"/>
      <c r="J263" s="259"/>
      <c r="K263" s="320"/>
      <c r="L263" s="320"/>
      <c r="M263" s="320"/>
      <c r="N263" s="320"/>
      <c r="O263" s="320"/>
      <c r="P263" s="320"/>
      <c r="Q263" s="320"/>
    </row>
    <row r="264" spans="1:17" ht="15" customHeight="1">
      <c r="A264" s="387">
        <v>41904008</v>
      </c>
      <c r="B264" s="388" t="s">
        <v>589</v>
      </c>
      <c r="C264" s="259">
        <f>ROUND('[2]1.10.2022'!C264*($I264/100+1),2)</f>
        <v>3536.77</v>
      </c>
      <c r="D264" s="355"/>
      <c r="E264" s="259">
        <f>ROUND('[2]1.10.2022'!E264*($J264/100+1),2)</f>
        <v>3503.19</v>
      </c>
      <c r="I264" s="259">
        <f aca="true" t="shared" si="14" ref="I264:J275">$I$1</f>
        <v>2.02</v>
      </c>
      <c r="J264" s="259">
        <f t="shared" si="14"/>
        <v>2.02</v>
      </c>
      <c r="K264" s="320"/>
      <c r="L264" s="320">
        <f>(C264-'[2]1.10.2022'!C264)/'[2]1.10.2022'!C264*100</f>
        <v>2.0200534219468493</v>
      </c>
      <c r="M264" s="320"/>
      <c r="N264" s="320">
        <f>(E264-'[2]1.10.2022'!E264)/'[2]1.10.2022'!E264*100</f>
        <v>2.0199019753453182</v>
      </c>
      <c r="O264" s="320"/>
      <c r="P264" s="320"/>
      <c r="Q264" s="320"/>
    </row>
    <row r="265" spans="1:17" ht="15" customHeight="1">
      <c r="A265" s="387">
        <v>41904009</v>
      </c>
      <c r="B265" s="388" t="s">
        <v>604</v>
      </c>
      <c r="C265" s="259">
        <f>ROUND('[2]1.10.2022'!C265*($I265/100+1),2)</f>
        <v>3229.51</v>
      </c>
      <c r="D265" s="355"/>
      <c r="E265" s="259">
        <f>ROUND('[2]1.10.2022'!E265*($J265/100+1),2)</f>
        <v>3198.87</v>
      </c>
      <c r="I265" s="259">
        <f t="shared" si="14"/>
        <v>2.02</v>
      </c>
      <c r="J265" s="259">
        <f t="shared" si="14"/>
        <v>2.02</v>
      </c>
      <c r="K265" s="320"/>
      <c r="L265" s="320">
        <f>(C265-'[2]1.10.2022'!C265)/'[2]1.10.2022'!C265*100</f>
        <v>2.0198574032480736</v>
      </c>
      <c r="M265" s="320"/>
      <c r="N265" s="320">
        <f>(E265-'[2]1.10.2022'!E265)/'[2]1.10.2022'!E265*100</f>
        <v>2.0200731614750835</v>
      </c>
      <c r="O265" s="320"/>
      <c r="P265" s="320"/>
      <c r="Q265" s="320"/>
    </row>
    <row r="266" spans="1:17" ht="15" customHeight="1">
      <c r="A266" s="387">
        <v>41904010</v>
      </c>
      <c r="B266" s="388" t="s">
        <v>591</v>
      </c>
      <c r="C266" s="259">
        <f>ROUND('[2]1.10.2022'!C266*($I266/100+1),2)</f>
        <v>3136.02</v>
      </c>
      <c r="D266" s="355"/>
      <c r="E266" s="259">
        <f>ROUND('[2]1.10.2022'!E266*($J266/100+1),2)</f>
        <v>3106.3</v>
      </c>
      <c r="H266" s="259"/>
      <c r="I266" s="259">
        <f t="shared" si="14"/>
        <v>2.02</v>
      </c>
      <c r="J266" s="259">
        <f t="shared" si="14"/>
        <v>2.02</v>
      </c>
      <c r="K266" s="320"/>
      <c r="L266" s="320">
        <f>(C266-'[2]1.10.2022'!C266)/'[2]1.10.2022'!C266*100</f>
        <v>2.0198898478495004</v>
      </c>
      <c r="M266" s="320"/>
      <c r="N266" s="320">
        <f>(E266-'[2]1.10.2022'!E266)/'[2]1.10.2022'!E266*100</f>
        <v>2.019837099316868</v>
      </c>
      <c r="O266" s="320"/>
      <c r="P266" s="320"/>
      <c r="Q266" s="320"/>
    </row>
    <row r="267" spans="1:17" ht="15" customHeight="1">
      <c r="A267" s="387">
        <v>41904018</v>
      </c>
      <c r="B267" s="388" t="s">
        <v>605</v>
      </c>
      <c r="C267" s="259">
        <f>ROUND('[2]1.10.2022'!C267*($I267/100+1),2)</f>
        <v>2932.3</v>
      </c>
      <c r="D267" s="355"/>
      <c r="E267" s="259">
        <f>ROUND('[2]1.10.2022'!E267*($J267/100+1),2)</f>
        <v>2904.45</v>
      </c>
      <c r="H267" s="259"/>
      <c r="I267" s="259">
        <f t="shared" si="14"/>
        <v>2.02</v>
      </c>
      <c r="J267" s="259">
        <f t="shared" si="14"/>
        <v>2.02</v>
      </c>
      <c r="K267" s="320"/>
      <c r="L267" s="320">
        <f>(C267-'[2]1.10.2022'!C267)/'[2]1.10.2022'!C267*100</f>
        <v>2.0200122467156674</v>
      </c>
      <c r="M267" s="320"/>
      <c r="N267" s="320">
        <f>(E267-'[2]1.10.2022'!E267)/'[2]1.10.2022'!E267*100</f>
        <v>2.0200636472844447</v>
      </c>
      <c r="O267" s="320"/>
      <c r="P267" s="320"/>
      <c r="Q267" s="320"/>
    </row>
    <row r="268" spans="1:17" ht="15" customHeight="1">
      <c r="A268" s="387">
        <v>41904014</v>
      </c>
      <c r="B268" s="388" t="s">
        <v>593</v>
      </c>
      <c r="C268" s="259">
        <f>ROUND('[2]1.10.2022'!C268*($I268/100+1),2)</f>
        <v>3396.82</v>
      </c>
      <c r="D268" s="355"/>
      <c r="E268" s="259">
        <f>ROUND('[2]1.10.2022'!E268*($J268/100+1),2)</f>
        <v>3364.59</v>
      </c>
      <c r="H268" s="259"/>
      <c r="I268" s="259">
        <f t="shared" si="14"/>
        <v>2.02</v>
      </c>
      <c r="J268" s="259">
        <f t="shared" si="14"/>
        <v>2.02</v>
      </c>
      <c r="K268" s="320"/>
      <c r="L268" s="320">
        <f>(C268-'[2]1.10.2022'!C268)/'[2]1.10.2022'!C268*100</f>
        <v>2.020086738187635</v>
      </c>
      <c r="M268" s="320"/>
      <c r="N268" s="320">
        <f>(E268-'[2]1.10.2022'!E268)/'[2]1.10.2022'!E268*100</f>
        <v>2.020030503612839</v>
      </c>
      <c r="O268" s="320"/>
      <c r="P268" s="320"/>
      <c r="Q268" s="320"/>
    </row>
    <row r="269" spans="1:17" ht="15" customHeight="1">
      <c r="A269" s="387">
        <v>41904015</v>
      </c>
      <c r="B269" s="388" t="s">
        <v>594</v>
      </c>
      <c r="C269" s="259">
        <f>ROUND('[2]1.10.2022'!C269*($I269/100+1),2)</f>
        <v>3136.02</v>
      </c>
      <c r="D269" s="355"/>
      <c r="E269" s="259">
        <f>ROUND('[2]1.10.2022'!E269*($J269/100+1),2)</f>
        <v>3106.3</v>
      </c>
      <c r="H269" s="259"/>
      <c r="I269" s="259">
        <f t="shared" si="14"/>
        <v>2.02</v>
      </c>
      <c r="J269" s="259">
        <f t="shared" si="14"/>
        <v>2.02</v>
      </c>
      <c r="K269" s="320"/>
      <c r="L269" s="320">
        <f>(C269-'[2]1.10.2022'!C269)/'[2]1.10.2022'!C269*100</f>
        <v>2.0198898478495004</v>
      </c>
      <c r="M269" s="320"/>
      <c r="N269" s="320">
        <f>(E269-'[2]1.10.2022'!E269)/'[2]1.10.2022'!E269*100</f>
        <v>2.019837099316868</v>
      </c>
      <c r="O269" s="320"/>
      <c r="P269" s="320"/>
      <c r="Q269" s="320"/>
    </row>
    <row r="270" spans="1:17" ht="15" customHeight="1">
      <c r="A270" s="387">
        <v>41907008</v>
      </c>
      <c r="B270" s="388" t="s">
        <v>595</v>
      </c>
      <c r="C270" s="259">
        <f>ROUND('[2]1.10.2022'!C270*($I270/100+1),2)</f>
        <v>3536.77</v>
      </c>
      <c r="D270" s="355"/>
      <c r="E270" s="259">
        <f>ROUND('[2]1.10.2022'!E270*($J270/100+1),2)</f>
        <v>3503.19</v>
      </c>
      <c r="H270" s="259"/>
      <c r="I270" s="259">
        <f t="shared" si="14"/>
        <v>2.02</v>
      </c>
      <c r="J270" s="259">
        <f t="shared" si="14"/>
        <v>2.02</v>
      </c>
      <c r="K270" s="320"/>
      <c r="L270" s="320">
        <f>(C270-'[2]1.10.2022'!C270)/'[2]1.10.2022'!C270*100</f>
        <v>2.0200534219468493</v>
      </c>
      <c r="M270" s="320"/>
      <c r="N270" s="320">
        <f>(E270-'[2]1.10.2022'!E270)/'[2]1.10.2022'!E270*100</f>
        <v>2.0199019753453182</v>
      </c>
      <c r="O270" s="320"/>
      <c r="P270" s="320"/>
      <c r="Q270" s="320"/>
    </row>
    <row r="271" spans="1:17" ht="15" customHeight="1">
      <c r="A271" s="387">
        <v>41907009</v>
      </c>
      <c r="B271" s="388" t="s">
        <v>606</v>
      </c>
      <c r="C271" s="259">
        <f>ROUND('[2]1.10.2022'!C271*($I271/100+1),2)</f>
        <v>3229.51</v>
      </c>
      <c r="D271" s="355"/>
      <c r="E271" s="259">
        <f>ROUND('[2]1.10.2022'!E271*($J271/100+1),2)</f>
        <v>3198.87</v>
      </c>
      <c r="H271" s="259"/>
      <c r="I271" s="259">
        <f t="shared" si="14"/>
        <v>2.02</v>
      </c>
      <c r="J271" s="259">
        <f t="shared" si="14"/>
        <v>2.02</v>
      </c>
      <c r="K271" s="320"/>
      <c r="L271" s="320">
        <f>(C271-'[2]1.10.2022'!C271)/'[2]1.10.2022'!C271*100</f>
        <v>2.0198574032480736</v>
      </c>
      <c r="M271" s="320"/>
      <c r="N271" s="320">
        <f>(E271-'[2]1.10.2022'!E271)/'[2]1.10.2022'!E271*100</f>
        <v>2.0200731614750835</v>
      </c>
      <c r="O271" s="320"/>
      <c r="P271" s="320"/>
      <c r="Q271" s="320"/>
    </row>
    <row r="272" spans="1:17" ht="15" customHeight="1">
      <c r="A272" s="387">
        <v>41907010</v>
      </c>
      <c r="B272" s="388" t="s">
        <v>579</v>
      </c>
      <c r="C272" s="259">
        <f>ROUND('[2]1.10.2022'!C272*($I272/100+1),2)</f>
        <v>3136.02</v>
      </c>
      <c r="D272" s="355"/>
      <c r="E272" s="259">
        <f>ROUND('[2]1.10.2022'!E272*($J272/100+1),2)</f>
        <v>3106.3</v>
      </c>
      <c r="H272" s="259"/>
      <c r="I272" s="259">
        <f t="shared" si="14"/>
        <v>2.02</v>
      </c>
      <c r="J272" s="259">
        <f t="shared" si="14"/>
        <v>2.02</v>
      </c>
      <c r="K272" s="320"/>
      <c r="L272" s="320">
        <f>(C272-'[2]1.10.2022'!C272)/'[2]1.10.2022'!C272*100</f>
        <v>2.0198898478495004</v>
      </c>
      <c r="M272" s="320"/>
      <c r="N272" s="320">
        <f>(E272-'[2]1.10.2022'!E272)/'[2]1.10.2022'!E272*100</f>
        <v>2.019837099316868</v>
      </c>
      <c r="O272" s="320"/>
      <c r="P272" s="320"/>
      <c r="Q272" s="320"/>
    </row>
    <row r="273" spans="1:17" ht="15" customHeight="1">
      <c r="A273" s="387">
        <v>41907018</v>
      </c>
      <c r="B273" s="388" t="s">
        <v>580</v>
      </c>
      <c r="C273" s="259">
        <f>ROUND('[2]1.10.2022'!C273*($I273/100+1),2)</f>
        <v>2932.3</v>
      </c>
      <c r="D273" s="355"/>
      <c r="E273" s="259">
        <f>ROUND('[2]1.10.2022'!E273*($J273/100+1),2)</f>
        <v>2904.45</v>
      </c>
      <c r="H273" s="259"/>
      <c r="I273" s="259">
        <f t="shared" si="14"/>
        <v>2.02</v>
      </c>
      <c r="J273" s="259">
        <f t="shared" si="14"/>
        <v>2.02</v>
      </c>
      <c r="K273" s="320"/>
      <c r="L273" s="320">
        <f>(C273-'[2]1.10.2022'!C273)/'[2]1.10.2022'!C273*100</f>
        <v>2.0200122467156674</v>
      </c>
      <c r="M273" s="320"/>
      <c r="N273" s="320">
        <f>(E273-'[2]1.10.2022'!E273)/'[2]1.10.2022'!E273*100</f>
        <v>2.0200636472844447</v>
      </c>
      <c r="O273" s="320"/>
      <c r="P273" s="320"/>
      <c r="Q273" s="320"/>
    </row>
    <row r="274" spans="1:17" ht="15" customHeight="1">
      <c r="A274" s="387">
        <v>41907014</v>
      </c>
      <c r="B274" s="388" t="s">
        <v>581</v>
      </c>
      <c r="C274" s="259">
        <f>ROUND('[2]1.10.2022'!C274*($I274/100+1),2)</f>
        <v>3396.82</v>
      </c>
      <c r="D274" s="355"/>
      <c r="E274" s="259">
        <f>ROUND('[2]1.10.2022'!E274*($J274/100+1),2)</f>
        <v>3364.59</v>
      </c>
      <c r="H274" s="259"/>
      <c r="I274" s="259">
        <f t="shared" si="14"/>
        <v>2.02</v>
      </c>
      <c r="J274" s="259">
        <f t="shared" si="14"/>
        <v>2.02</v>
      </c>
      <c r="K274" s="320"/>
      <c r="L274" s="320">
        <f>(C274-'[2]1.10.2022'!C274)/'[2]1.10.2022'!C274*100</f>
        <v>2.020086738187635</v>
      </c>
      <c r="M274" s="320"/>
      <c r="N274" s="320">
        <f>(E274-'[2]1.10.2022'!E274)/'[2]1.10.2022'!E274*100</f>
        <v>2.020030503612839</v>
      </c>
      <c r="O274" s="320"/>
      <c r="P274" s="320"/>
      <c r="Q274" s="320"/>
    </row>
    <row r="275" spans="1:17" ht="15" customHeight="1">
      <c r="A275" s="387">
        <v>41907015</v>
      </c>
      <c r="B275" s="388" t="s">
        <v>598</v>
      </c>
      <c r="C275" s="259">
        <f>ROUND('[2]1.10.2022'!C275*($I275/100+1),2)</f>
        <v>3136.02</v>
      </c>
      <c r="D275" s="355"/>
      <c r="E275" s="259">
        <f>ROUND('[2]1.10.2022'!E275*($J275/100+1),2)</f>
        <v>3106.3</v>
      </c>
      <c r="H275" s="259"/>
      <c r="I275" s="259">
        <f t="shared" si="14"/>
        <v>2.02</v>
      </c>
      <c r="J275" s="259">
        <f t="shared" si="14"/>
        <v>2.02</v>
      </c>
      <c r="K275" s="320"/>
      <c r="L275" s="320">
        <f>(C275-'[2]1.10.2022'!C275)/'[2]1.10.2022'!C275*100</f>
        <v>2.0198898478495004</v>
      </c>
      <c r="M275" s="320"/>
      <c r="N275" s="320">
        <f>(E275-'[2]1.10.2022'!E275)/'[2]1.10.2022'!E275*100</f>
        <v>2.019837099316868</v>
      </c>
      <c r="O275" s="320"/>
      <c r="P275" s="320"/>
      <c r="Q275" s="320"/>
    </row>
    <row r="276" spans="1:17" ht="15" customHeight="1">
      <c r="A276" s="389"/>
      <c r="B276" s="390"/>
      <c r="C276" s="329"/>
      <c r="D276" s="329"/>
      <c r="E276" s="329"/>
      <c r="H276" s="259"/>
      <c r="I276" s="259"/>
      <c r="J276" s="259"/>
      <c r="K276" s="320"/>
      <c r="L276" s="320"/>
      <c r="M276" s="320"/>
      <c r="N276" s="320"/>
      <c r="O276" s="320"/>
      <c r="P276" s="320"/>
      <c r="Q276" s="320"/>
    </row>
    <row r="277" spans="1:17" ht="15" customHeight="1">
      <c r="A277" s="384" t="s">
        <v>607</v>
      </c>
      <c r="B277" s="393"/>
      <c r="C277" s="351"/>
      <c r="E277" s="351"/>
      <c r="H277" s="259"/>
      <c r="I277" s="259"/>
      <c r="J277" s="259"/>
      <c r="K277" s="320"/>
      <c r="L277" s="320"/>
      <c r="M277" s="320"/>
      <c r="N277" s="320"/>
      <c r="O277" s="320"/>
      <c r="P277" s="320"/>
      <c r="Q277" s="320"/>
    </row>
    <row r="278" spans="1:17" ht="15" customHeight="1">
      <c r="A278" s="384" t="s">
        <v>542</v>
      </c>
      <c r="B278" s="393"/>
      <c r="C278" s="360" t="s">
        <v>2</v>
      </c>
      <c r="D278" s="360"/>
      <c r="E278" s="360" t="s">
        <v>3</v>
      </c>
      <c r="I278" s="259"/>
      <c r="J278" s="259"/>
      <c r="K278" s="320"/>
      <c r="L278" s="320"/>
      <c r="M278" s="320"/>
      <c r="N278" s="320"/>
      <c r="O278" s="320"/>
      <c r="P278" s="320"/>
      <c r="Q278" s="320"/>
    </row>
    <row r="279" spans="1:17" ht="15" customHeight="1">
      <c r="A279" s="387">
        <v>42004003</v>
      </c>
      <c r="B279" s="388" t="s">
        <v>608</v>
      </c>
      <c r="C279" s="259">
        <f>ROUND('[2]1.10.2022'!C279*($I279/100+1),2)</f>
        <v>3053.88</v>
      </c>
      <c r="D279" s="355"/>
      <c r="E279" s="259">
        <f>ROUND('[2]1.10.2022'!E279*($J279/100+1),2)</f>
        <v>3024.85</v>
      </c>
      <c r="F279" s="351"/>
      <c r="G279" s="351"/>
      <c r="H279" s="351"/>
      <c r="I279" s="259">
        <f aca="true" t="shared" si="15" ref="I279:J293">$I$1</f>
        <v>2.02</v>
      </c>
      <c r="J279" s="259">
        <f t="shared" si="15"/>
        <v>2.02</v>
      </c>
      <c r="K279" s="320"/>
      <c r="L279" s="320">
        <f>(C279-'[2]1.10.2022'!C279)/'[2]1.10.2022'!C279*100</f>
        <v>2.0201041621428493</v>
      </c>
      <c r="M279" s="320"/>
      <c r="N279" s="320">
        <f>(E279-'[2]1.10.2022'!E279)/'[2]1.10.2022'!E279*100</f>
        <v>2.019926069828931</v>
      </c>
      <c r="O279" s="320"/>
      <c r="P279" s="320"/>
      <c r="Q279" s="320"/>
    </row>
    <row r="280" spans="1:17" ht="15" customHeight="1">
      <c r="A280" s="387">
        <v>42004010</v>
      </c>
      <c r="B280" s="388" t="s">
        <v>609</v>
      </c>
      <c r="C280" s="259">
        <f>ROUND('[2]1.10.2022'!C280*($I280/100+1),2)</f>
        <v>3332.25</v>
      </c>
      <c r="D280" s="355"/>
      <c r="E280" s="259">
        <f>ROUND('[2]1.10.2022'!E280*($J280/100+1),2)</f>
        <v>3300.63</v>
      </c>
      <c r="F280" s="351"/>
      <c r="G280" s="351"/>
      <c r="H280" s="351"/>
      <c r="I280" s="259">
        <f t="shared" si="15"/>
        <v>2.02</v>
      </c>
      <c r="J280" s="259">
        <f t="shared" si="15"/>
        <v>2.02</v>
      </c>
      <c r="K280" s="320"/>
      <c r="L280" s="320">
        <f>(C280-'[2]1.10.2022'!C280)/'[2]1.10.2022'!C280*100</f>
        <v>2.0200412090855933</v>
      </c>
      <c r="M280" s="320"/>
      <c r="N280" s="320">
        <f>(E280-'[2]1.10.2022'!E280)/'[2]1.10.2022'!E280*100</f>
        <v>2.0199179050963103</v>
      </c>
      <c r="O280" s="320"/>
      <c r="P280" s="320"/>
      <c r="Q280" s="320"/>
    </row>
    <row r="281" spans="1:17" ht="15" customHeight="1">
      <c r="A281" s="387">
        <v>42004011</v>
      </c>
      <c r="B281" s="388" t="s">
        <v>610</v>
      </c>
      <c r="C281" s="259">
        <f>ROUND('[2]1.10.2022'!C281*($I281/100+1),2)</f>
        <v>3121.8</v>
      </c>
      <c r="D281" s="355"/>
      <c r="E281" s="259">
        <f>ROUND('[2]1.10.2022'!E281*($J281/100+1),2)</f>
        <v>3092.18</v>
      </c>
      <c r="H281" s="259"/>
      <c r="I281" s="259">
        <f t="shared" si="15"/>
        <v>2.02</v>
      </c>
      <c r="J281" s="259">
        <f t="shared" si="15"/>
        <v>2.02</v>
      </c>
      <c r="K281" s="320"/>
      <c r="L281" s="320">
        <f>(C281-'[2]1.10.2022'!C281)/'[2]1.10.2022'!C281*100</f>
        <v>2.0199412416380578</v>
      </c>
      <c r="M281" s="320"/>
      <c r="N281" s="320">
        <f>(E281-'[2]1.10.2022'!E281)/'[2]1.10.2022'!E281*100</f>
        <v>2.0201586961183793</v>
      </c>
      <c r="O281" s="320"/>
      <c r="P281" s="320"/>
      <c r="Q281" s="320"/>
    </row>
    <row r="282" spans="1:17" ht="15" customHeight="1">
      <c r="A282" s="387">
        <v>42004008</v>
      </c>
      <c r="B282" s="388" t="s">
        <v>611</v>
      </c>
      <c r="C282" s="259">
        <f>ROUND('[2]1.10.2022'!C282*($I282/100+1),2)</f>
        <v>2494.73</v>
      </c>
      <c r="D282" s="355"/>
      <c r="E282" s="259">
        <f>ROUND('[2]1.10.2022'!E282*($J282/100+1),2)</f>
        <v>2471.05</v>
      </c>
      <c r="H282" s="259"/>
      <c r="I282" s="259">
        <f t="shared" si="15"/>
        <v>2.02</v>
      </c>
      <c r="J282" s="259">
        <f t="shared" si="15"/>
        <v>2.02</v>
      </c>
      <c r="K282" s="320"/>
      <c r="L282" s="320">
        <f>(C282-'[2]1.10.2022'!C282)/'[2]1.10.2022'!C282*100</f>
        <v>2.02017723579231</v>
      </c>
      <c r="M282" s="320"/>
      <c r="N282" s="320">
        <f>(E282-'[2]1.10.2022'!E282)/'[2]1.10.2022'!E282*100</f>
        <v>2.020131124799774</v>
      </c>
      <c r="O282" s="320"/>
      <c r="P282" s="320"/>
      <c r="Q282" s="320"/>
    </row>
    <row r="283" spans="1:17" ht="15" customHeight="1">
      <c r="A283" s="387">
        <v>42004009</v>
      </c>
      <c r="B283" s="388" t="s">
        <v>612</v>
      </c>
      <c r="C283" s="259">
        <f>ROUND('[2]1.10.2022'!C283*($I283/100+1),2)</f>
        <v>2382.34</v>
      </c>
      <c r="D283" s="355"/>
      <c r="E283" s="259">
        <f>ROUND('[2]1.10.2022'!E283*($J283/100+1),2)</f>
        <v>2360.22</v>
      </c>
      <c r="H283" s="259"/>
      <c r="I283" s="259">
        <f t="shared" si="15"/>
        <v>2.02</v>
      </c>
      <c r="J283" s="259">
        <f t="shared" si="15"/>
        <v>2.02</v>
      </c>
      <c r="K283" s="320"/>
      <c r="L283" s="320">
        <f>(C283-'[2]1.10.2022'!C283)/'[2]1.10.2022'!C283*100</f>
        <v>2.019981414629345</v>
      </c>
      <c r="M283" s="320"/>
      <c r="N283" s="320">
        <f>(E283-'[2]1.10.2022'!E283)/'[2]1.10.2022'!E283*100</f>
        <v>2.0198920246035224</v>
      </c>
      <c r="O283" s="320"/>
      <c r="P283" s="320"/>
      <c r="Q283" s="320"/>
    </row>
    <row r="284" spans="1:17" ht="15" customHeight="1">
      <c r="A284" s="387">
        <v>42004004</v>
      </c>
      <c r="B284" s="388" t="s">
        <v>593</v>
      </c>
      <c r="C284" s="259">
        <f>ROUND('[2]1.10.2022'!C284*($I284/100+1),2)</f>
        <v>3067.4</v>
      </c>
      <c r="D284" s="355"/>
      <c r="E284" s="259">
        <f>ROUND('[2]1.10.2022'!E284*($J284/100+1),2)</f>
        <v>3038.27</v>
      </c>
      <c r="H284" s="259"/>
      <c r="I284" s="259">
        <f t="shared" si="15"/>
        <v>2.02</v>
      </c>
      <c r="J284" s="259">
        <f t="shared" si="15"/>
        <v>2.02</v>
      </c>
      <c r="K284" s="320"/>
      <c r="L284" s="320">
        <f>(C284-'[2]1.10.2022'!C284)/'[2]1.10.2022'!C284*100</f>
        <v>2.0198425500636925</v>
      </c>
      <c r="M284" s="320"/>
      <c r="N284" s="320">
        <f>(E284-'[2]1.10.2022'!E284)/'[2]1.10.2022'!E284*100</f>
        <v>2.020073133631728</v>
      </c>
      <c r="O284" s="320"/>
      <c r="P284" s="320"/>
      <c r="Q284" s="320"/>
    </row>
    <row r="285" spans="1:17" ht="15" customHeight="1">
      <c r="A285" s="387">
        <v>42004005</v>
      </c>
      <c r="B285" s="388" t="s">
        <v>613</v>
      </c>
      <c r="C285" s="259">
        <f>ROUND('[2]1.10.2022'!C285*($I285/100+1),2)</f>
        <v>2729.29</v>
      </c>
      <c r="D285" s="355"/>
      <c r="E285" s="259">
        <f>ROUND('[2]1.10.2022'!E285*($J285/100+1),2)</f>
        <v>2703.44</v>
      </c>
      <c r="H285" s="259"/>
      <c r="I285" s="259">
        <f t="shared" si="15"/>
        <v>2.02</v>
      </c>
      <c r="J285" s="259">
        <f t="shared" si="15"/>
        <v>2.02</v>
      </c>
      <c r="K285" s="320"/>
      <c r="L285" s="320">
        <f>(C285-'[2]1.10.2022'!C285)/'[2]1.10.2022'!C285*100</f>
        <v>2.0199981310157917</v>
      </c>
      <c r="M285" s="320"/>
      <c r="N285" s="320">
        <f>(E285-'[2]1.10.2022'!E285)/'[2]1.10.2022'!E285*100</f>
        <v>2.020068606103611</v>
      </c>
      <c r="O285" s="320"/>
      <c r="P285" s="320"/>
      <c r="Q285" s="320"/>
    </row>
    <row r="286" spans="1:17" ht="15" customHeight="1">
      <c r="A286" s="387">
        <v>42004006</v>
      </c>
      <c r="B286" s="388" t="s">
        <v>614</v>
      </c>
      <c r="C286" s="259">
        <f>ROUND('[2]1.10.2022'!C286*($I286/100+1),2)</f>
        <v>2670.61</v>
      </c>
      <c r="D286" s="355"/>
      <c r="E286" s="259">
        <f>ROUND('[2]1.10.2022'!E286*($J286/100+1),2)</f>
        <v>2645.28</v>
      </c>
      <c r="H286" s="259"/>
      <c r="I286" s="259">
        <f t="shared" si="15"/>
        <v>2.02</v>
      </c>
      <c r="J286" s="259">
        <f t="shared" si="15"/>
        <v>2.02</v>
      </c>
      <c r="K286" s="320"/>
      <c r="L286" s="320">
        <f>(C286-'[2]1.10.2022'!C286)/'[2]1.10.2022'!C286*100</f>
        <v>2.0200708247221875</v>
      </c>
      <c r="M286" s="320"/>
      <c r="N286" s="320">
        <f>(E286-'[2]1.10.2022'!E286)/'[2]1.10.2022'!E286*100</f>
        <v>2.0201318986463073</v>
      </c>
      <c r="O286" s="320"/>
      <c r="P286" s="320"/>
      <c r="Q286" s="320"/>
    </row>
    <row r="287" spans="1:17" ht="15" customHeight="1">
      <c r="A287" s="387">
        <v>42007010</v>
      </c>
      <c r="B287" s="388" t="s">
        <v>615</v>
      </c>
      <c r="C287" s="259">
        <f>ROUND('[2]1.10.2022'!C287*($I287/100+1),2)</f>
        <v>3332.25</v>
      </c>
      <c r="D287" s="355"/>
      <c r="E287" s="259">
        <f>ROUND('[2]1.10.2022'!E287*($J287/100+1),2)</f>
        <v>3300.63</v>
      </c>
      <c r="H287" s="259"/>
      <c r="I287" s="259">
        <f t="shared" si="15"/>
        <v>2.02</v>
      </c>
      <c r="J287" s="259">
        <f t="shared" si="15"/>
        <v>2.02</v>
      </c>
      <c r="K287" s="320"/>
      <c r="L287" s="320">
        <f>(C287-'[2]1.10.2022'!C287)/'[2]1.10.2022'!C287*100</f>
        <v>2.0200412090855933</v>
      </c>
      <c r="M287" s="320"/>
      <c r="N287" s="320">
        <f>(E287-'[2]1.10.2022'!E287)/'[2]1.10.2022'!E287*100</f>
        <v>2.0199179050963103</v>
      </c>
      <c r="O287" s="320"/>
      <c r="P287" s="320"/>
      <c r="Q287" s="320"/>
    </row>
    <row r="288" spans="1:17" ht="15" customHeight="1">
      <c r="A288" s="387">
        <v>42007011</v>
      </c>
      <c r="B288" s="388" t="s">
        <v>616</v>
      </c>
      <c r="C288" s="259">
        <f>ROUND('[2]1.10.2022'!C288*($I288/100+1),2)</f>
        <v>3121.8</v>
      </c>
      <c r="D288" s="355"/>
      <c r="E288" s="259">
        <f>ROUND('[2]1.10.2022'!E288*($J288/100+1),2)</f>
        <v>3092.18</v>
      </c>
      <c r="H288" s="259"/>
      <c r="I288" s="259">
        <f t="shared" si="15"/>
        <v>2.02</v>
      </c>
      <c r="J288" s="259">
        <f t="shared" si="15"/>
        <v>2.02</v>
      </c>
      <c r="K288" s="320"/>
      <c r="L288" s="320">
        <f>(C288-'[2]1.10.2022'!C288)/'[2]1.10.2022'!C288*100</f>
        <v>2.0199412416380578</v>
      </c>
      <c r="M288" s="320"/>
      <c r="N288" s="320">
        <f>(E288-'[2]1.10.2022'!E288)/'[2]1.10.2022'!E288*100</f>
        <v>2.0201586961183793</v>
      </c>
      <c r="O288" s="320"/>
      <c r="P288" s="320"/>
      <c r="Q288" s="320"/>
    </row>
    <row r="289" spans="1:17" ht="15" customHeight="1">
      <c r="A289" s="387">
        <v>42007008</v>
      </c>
      <c r="B289" s="388" t="s">
        <v>617</v>
      </c>
      <c r="C289" s="259">
        <f>ROUND('[2]1.10.2022'!C289*($I289/100+1),2)</f>
        <v>2494.73</v>
      </c>
      <c r="D289" s="355"/>
      <c r="E289" s="259">
        <f>ROUND('[2]1.10.2022'!E289*($J289/100+1),2)</f>
        <v>2471.05</v>
      </c>
      <c r="H289" s="259"/>
      <c r="I289" s="259">
        <f t="shared" si="15"/>
        <v>2.02</v>
      </c>
      <c r="J289" s="259">
        <f t="shared" si="15"/>
        <v>2.02</v>
      </c>
      <c r="K289" s="320"/>
      <c r="L289" s="320">
        <f>(C289-'[2]1.10.2022'!C289)/'[2]1.10.2022'!C289*100</f>
        <v>2.02017723579231</v>
      </c>
      <c r="M289" s="320"/>
      <c r="N289" s="320">
        <f>(E289-'[2]1.10.2022'!E289)/'[2]1.10.2022'!E289*100</f>
        <v>2.020131124799774</v>
      </c>
      <c r="O289" s="320"/>
      <c r="P289" s="320"/>
      <c r="Q289" s="320"/>
    </row>
    <row r="290" spans="1:17" ht="15" customHeight="1">
      <c r="A290" s="387">
        <v>42007009</v>
      </c>
      <c r="B290" s="388" t="s">
        <v>618</v>
      </c>
      <c r="C290" s="259">
        <f>ROUND('[2]1.10.2022'!C290*($I290/100+1),2)</f>
        <v>2382.34</v>
      </c>
      <c r="D290" s="355"/>
      <c r="E290" s="259">
        <f>ROUND('[2]1.10.2022'!E290*($J290/100+1),2)</f>
        <v>2360.22</v>
      </c>
      <c r="H290" s="259"/>
      <c r="I290" s="259">
        <f t="shared" si="15"/>
        <v>2.02</v>
      </c>
      <c r="J290" s="259">
        <f t="shared" si="15"/>
        <v>2.02</v>
      </c>
      <c r="K290" s="320"/>
      <c r="L290" s="320">
        <f>(C290-'[2]1.10.2022'!C290)/'[2]1.10.2022'!C290*100</f>
        <v>2.019981414629345</v>
      </c>
      <c r="M290" s="320"/>
      <c r="N290" s="320">
        <f>(E290-'[2]1.10.2022'!E290)/'[2]1.10.2022'!E290*100</f>
        <v>2.0198920246035224</v>
      </c>
      <c r="O290" s="320"/>
      <c r="P290" s="320"/>
      <c r="Q290" s="320"/>
    </row>
    <row r="291" spans="1:17" ht="15" customHeight="1">
      <c r="A291" s="387">
        <v>42007004</v>
      </c>
      <c r="B291" s="388" t="s">
        <v>581</v>
      </c>
      <c r="C291" s="259">
        <f>ROUND('[2]1.10.2022'!C291*($I291/100+1),2)</f>
        <v>3067.4</v>
      </c>
      <c r="D291" s="355"/>
      <c r="E291" s="259">
        <f>ROUND('[2]1.10.2022'!E291*($J291/100+1),2)</f>
        <v>3038.27</v>
      </c>
      <c r="H291" s="259"/>
      <c r="I291" s="259">
        <f t="shared" si="15"/>
        <v>2.02</v>
      </c>
      <c r="J291" s="259">
        <f t="shared" si="15"/>
        <v>2.02</v>
      </c>
      <c r="K291" s="320"/>
      <c r="L291" s="320">
        <f>(C291-'[2]1.10.2022'!C291)/'[2]1.10.2022'!C291*100</f>
        <v>2.0198425500636925</v>
      </c>
      <c r="M291" s="320"/>
      <c r="N291" s="320">
        <f>(E291-'[2]1.10.2022'!E291)/'[2]1.10.2022'!E291*100</f>
        <v>2.020073133631728</v>
      </c>
      <c r="O291" s="320"/>
      <c r="P291" s="320"/>
      <c r="Q291" s="320"/>
    </row>
    <row r="292" spans="1:17" ht="15" customHeight="1">
      <c r="A292" s="387">
        <v>42007005</v>
      </c>
      <c r="B292" s="388" t="s">
        <v>619</v>
      </c>
      <c r="C292" s="259">
        <f>ROUND('[2]1.10.2022'!C292*($I292/100+1),2)</f>
        <v>2729.29</v>
      </c>
      <c r="D292" s="355"/>
      <c r="E292" s="259">
        <f>ROUND('[2]1.10.2022'!E292*($J292/100+1),2)</f>
        <v>2703.44</v>
      </c>
      <c r="H292" s="259"/>
      <c r="I292" s="259">
        <f t="shared" si="15"/>
        <v>2.02</v>
      </c>
      <c r="J292" s="259">
        <f t="shared" si="15"/>
        <v>2.02</v>
      </c>
      <c r="K292" s="320"/>
      <c r="L292" s="320">
        <f>(C292-'[2]1.10.2022'!C292)/'[2]1.10.2022'!C292*100</f>
        <v>2.0199981310157917</v>
      </c>
      <c r="M292" s="320"/>
      <c r="N292" s="320">
        <f>(E292-'[2]1.10.2022'!E292)/'[2]1.10.2022'!E292*100</f>
        <v>2.020068606103611</v>
      </c>
      <c r="O292" s="320"/>
      <c r="P292" s="320"/>
      <c r="Q292" s="320"/>
    </row>
    <row r="293" spans="1:17" ht="15" customHeight="1">
      <c r="A293" s="387">
        <v>42007006</v>
      </c>
      <c r="B293" s="388" t="s">
        <v>620</v>
      </c>
      <c r="C293" s="259">
        <f>ROUND('[2]1.10.2022'!C293*($I293/100+1),2)</f>
        <v>2670.61</v>
      </c>
      <c r="D293" s="355"/>
      <c r="E293" s="259">
        <f>ROUND('[2]1.10.2022'!E293*($J293/100+1),2)</f>
        <v>2645.28</v>
      </c>
      <c r="H293" s="259"/>
      <c r="I293" s="259">
        <f t="shared" si="15"/>
        <v>2.02</v>
      </c>
      <c r="J293" s="259">
        <f t="shared" si="15"/>
        <v>2.02</v>
      </c>
      <c r="K293" s="320"/>
      <c r="L293" s="320">
        <f>(C293-'[2]1.10.2022'!C293)/'[2]1.10.2022'!C293*100</f>
        <v>2.0200708247221875</v>
      </c>
      <c r="M293" s="320"/>
      <c r="N293" s="320">
        <f>(E293-'[2]1.10.2022'!E293)/'[2]1.10.2022'!E293*100</f>
        <v>2.0201318986463073</v>
      </c>
      <c r="O293" s="320"/>
      <c r="P293" s="320"/>
      <c r="Q293" s="320"/>
    </row>
    <row r="294" spans="1:17" ht="15" customHeight="1">
      <c r="A294" s="389"/>
      <c r="B294" s="394"/>
      <c r="C294" s="329"/>
      <c r="E294" s="329"/>
      <c r="H294" s="259"/>
      <c r="I294" s="259"/>
      <c r="J294" s="259"/>
      <c r="K294" s="320"/>
      <c r="L294" s="320"/>
      <c r="M294" s="320"/>
      <c r="N294" s="320"/>
      <c r="O294" s="320"/>
      <c r="P294" s="320"/>
      <c r="Q294" s="320"/>
    </row>
    <row r="295" spans="1:17" ht="15" customHeight="1">
      <c r="A295" s="358" t="s">
        <v>621</v>
      </c>
      <c r="B295" s="359"/>
      <c r="C295" s="17" t="s">
        <v>162</v>
      </c>
      <c r="D295" s="324" t="s">
        <v>163</v>
      </c>
      <c r="E295" s="17" t="s">
        <v>162</v>
      </c>
      <c r="F295" s="324" t="s">
        <v>163</v>
      </c>
      <c r="H295" s="259"/>
      <c r="I295" s="259"/>
      <c r="J295" s="259"/>
      <c r="K295" s="320"/>
      <c r="L295" s="320"/>
      <c r="M295" s="320"/>
      <c r="N295" s="320"/>
      <c r="O295" s="320"/>
      <c r="P295" s="320"/>
      <c r="Q295" s="320"/>
    </row>
    <row r="296" spans="1:17" ht="15" customHeight="1">
      <c r="A296" s="358" t="s">
        <v>518</v>
      </c>
      <c r="B296" s="359"/>
      <c r="C296" s="326" t="s">
        <v>2</v>
      </c>
      <c r="D296" s="326" t="s">
        <v>2</v>
      </c>
      <c r="E296" s="326" t="s">
        <v>3</v>
      </c>
      <c r="F296" s="326" t="s">
        <v>3</v>
      </c>
      <c r="I296" s="259"/>
      <c r="J296" s="259"/>
      <c r="K296" s="320"/>
      <c r="L296" s="320"/>
      <c r="M296" s="320"/>
      <c r="N296" s="320"/>
      <c r="O296" s="320"/>
      <c r="P296" s="320"/>
      <c r="Q296" s="320"/>
    </row>
    <row r="297" spans="1:17" ht="15" customHeight="1">
      <c r="A297" s="327">
        <v>40801002</v>
      </c>
      <c r="B297" s="336" t="s">
        <v>424</v>
      </c>
      <c r="C297" s="259">
        <f>ROUND('[2]1.10.2022'!C297*($I297/100+1),2)</f>
        <v>3927.93</v>
      </c>
      <c r="D297" s="259">
        <f>ROUND('[2]1.10.2022'!D297*($I297/100+1),2)</f>
        <v>4945.34</v>
      </c>
      <c r="E297" s="259">
        <f>ROUND('[2]1.10.2022'!E297*($J297/100+1),2)</f>
        <v>3890.24</v>
      </c>
      <c r="F297" s="259">
        <f>ROUND('[2]1.10.2022'!F297*($J297/100+1),2)</f>
        <v>4897.84</v>
      </c>
      <c r="G297" s="324"/>
      <c r="H297" s="324"/>
      <c r="I297" s="259">
        <f>$I$1</f>
        <v>2.02</v>
      </c>
      <c r="J297" s="259">
        <f>$I$1</f>
        <v>2.02</v>
      </c>
      <c r="K297" s="320"/>
      <c r="L297" s="320">
        <f>(C297-'[2]1.10.2022'!C297)/'[2]1.10.2022'!C297*100</f>
        <v>2.019916055436657</v>
      </c>
      <c r="M297" s="320">
        <f>(D297-'[2]1.10.2022'!D297)/'[2]1.10.2022'!D297*100</f>
        <v>2.0200436520870912</v>
      </c>
      <c r="N297" s="320">
        <f>(E297-'[2]1.10.2022'!E297)/'[2]1.10.2022'!E297*100</f>
        <v>2.020082817363842</v>
      </c>
      <c r="O297" s="320">
        <f>(F297-'[2]1.10.2022'!F297)/'[2]1.10.2022'!F297*100</f>
        <v>2.020054740192392</v>
      </c>
      <c r="P297" s="320"/>
      <c r="Q297" s="320"/>
    </row>
    <row r="298" spans="1:17" ht="15" customHeight="1">
      <c r="A298" s="327">
        <v>40802005</v>
      </c>
      <c r="B298" s="336" t="s">
        <v>435</v>
      </c>
      <c r="C298" s="259">
        <f>ROUND('[2]1.10.2022'!C298*($I298/100+1),2)</f>
        <v>3534.68</v>
      </c>
      <c r="D298" s="259">
        <f>ROUND('[2]1.10.2022'!D298*($I298/100+1),2)</f>
        <v>4369.83</v>
      </c>
      <c r="E298" s="259">
        <f>ROUND('[2]1.10.2022'!E298*($J298/100+1),2)</f>
        <v>3500.71</v>
      </c>
      <c r="F298" s="259">
        <f>ROUND('[2]1.10.2022'!F298*($J298/100+1),2)</f>
        <v>4327.88</v>
      </c>
      <c r="G298" s="317"/>
      <c r="H298" s="317"/>
      <c r="I298" s="259">
        <f>$I$1</f>
        <v>2.02</v>
      </c>
      <c r="J298" s="259">
        <f>$I$1</f>
        <v>2.02</v>
      </c>
      <c r="K298" s="320"/>
      <c r="L298" s="320">
        <f>(C298-'[2]1.10.2022'!C298)/'[2]1.10.2022'!C298*100</f>
        <v>2.020094149837353</v>
      </c>
      <c r="M298" s="320">
        <f>(D298-'[2]1.10.2022'!D298)/'[2]1.10.2022'!D298*100</f>
        <v>2.01993318251538</v>
      </c>
      <c r="N298" s="320">
        <f>(E298-'[2]1.10.2022'!E298)/'[2]1.10.2022'!E298*100</f>
        <v>2.0198752695692703</v>
      </c>
      <c r="O298" s="320">
        <f>(F298-'[2]1.10.2022'!F298)/'[2]1.10.2022'!F298*100</f>
        <v>2.0199472442299973</v>
      </c>
      <c r="P298" s="320"/>
      <c r="Q298" s="320"/>
    </row>
    <row r="299" spans="1:17" ht="15" customHeight="1">
      <c r="A299" s="347"/>
      <c r="B299" s="348"/>
      <c r="C299" s="329"/>
      <c r="E299" s="329"/>
      <c r="G299" s="329"/>
      <c r="H299" s="259"/>
      <c r="I299" s="259"/>
      <c r="J299" s="259"/>
      <c r="K299" s="320"/>
      <c r="L299" s="320"/>
      <c r="M299" s="320"/>
      <c r="N299" s="320"/>
      <c r="O299" s="320"/>
      <c r="P299" s="320"/>
      <c r="Q299" s="320"/>
    </row>
    <row r="300" spans="1:17" ht="15" customHeight="1">
      <c r="A300" s="358" t="s">
        <v>622</v>
      </c>
      <c r="B300" s="359"/>
      <c r="C300" s="360" t="s">
        <v>2</v>
      </c>
      <c r="D300" s="360"/>
      <c r="E300" s="360" t="s">
        <v>3</v>
      </c>
      <c r="G300" s="329"/>
      <c r="H300" s="259"/>
      <c r="I300" s="259"/>
      <c r="J300" s="259"/>
      <c r="K300" s="320"/>
      <c r="L300" s="320"/>
      <c r="M300" s="320"/>
      <c r="N300" s="320"/>
      <c r="O300" s="320"/>
      <c r="P300" s="320"/>
      <c r="Q300" s="320"/>
    </row>
    <row r="301" spans="1:17" ht="15" customHeight="1">
      <c r="A301" s="327">
        <v>40804012</v>
      </c>
      <c r="B301" s="336" t="s">
        <v>436</v>
      </c>
      <c r="C301" s="259">
        <f>ROUND('[2]1.10.2022'!C301*($I301/100+1),2)</f>
        <v>2759.85</v>
      </c>
      <c r="D301" s="355"/>
      <c r="E301" s="259">
        <f>ROUND('[2]1.10.2022'!E301*($J301/100+1),2)</f>
        <v>2733.59</v>
      </c>
      <c r="F301" s="329"/>
      <c r="G301" s="329"/>
      <c r="H301" s="329"/>
      <c r="I301" s="259">
        <f aca="true" t="shared" si="16" ref="I301:J312">$I$1</f>
        <v>2.02</v>
      </c>
      <c r="J301" s="259">
        <f t="shared" si="16"/>
        <v>2.02</v>
      </c>
      <c r="K301" s="320"/>
      <c r="L301" s="320">
        <f>(C301-'[2]1.10.2022'!C301)/'[2]1.10.2022'!C301*100</f>
        <v>2.020183350584064</v>
      </c>
      <c r="M301" s="320"/>
      <c r="N301" s="320">
        <f>(E301-'[2]1.10.2022'!E301)/'[2]1.10.2022'!E301*100</f>
        <v>2.0201831712359994</v>
      </c>
      <c r="O301" s="320"/>
      <c r="P301" s="320"/>
      <c r="Q301" s="320"/>
    </row>
    <row r="302" spans="1:17" ht="15" customHeight="1">
      <c r="A302" s="327">
        <v>40804014</v>
      </c>
      <c r="B302" s="336" t="s">
        <v>437</v>
      </c>
      <c r="C302" s="259">
        <f>ROUND('[2]1.10.2022'!C302*($I302/100+1),2)</f>
        <v>2687.63</v>
      </c>
      <c r="D302" s="355"/>
      <c r="E302" s="259">
        <f>ROUND('[2]1.10.2022'!E302*($J302/100+1),2)</f>
        <v>2662.07</v>
      </c>
      <c r="F302" s="329"/>
      <c r="G302" s="329"/>
      <c r="H302" s="329"/>
      <c r="I302" s="259">
        <f t="shared" si="16"/>
        <v>2.02</v>
      </c>
      <c r="J302" s="259">
        <f t="shared" si="16"/>
        <v>2.02</v>
      </c>
      <c r="K302" s="320"/>
      <c r="L302" s="320">
        <f>(C302-'[2]1.10.2022'!C302)/'[2]1.10.2022'!C302*100</f>
        <v>2.0201866831662594</v>
      </c>
      <c r="M302" s="320"/>
      <c r="N302" s="320">
        <f>(E302-'[2]1.10.2022'!E302)/'[2]1.10.2022'!E302*100</f>
        <v>2.020035564276299</v>
      </c>
      <c r="O302" s="320"/>
      <c r="P302" s="320"/>
      <c r="Q302" s="320"/>
    </row>
    <row r="303" spans="1:17" ht="15" customHeight="1">
      <c r="A303" s="327">
        <v>40804013</v>
      </c>
      <c r="B303" s="336" t="s">
        <v>438</v>
      </c>
      <c r="C303" s="259">
        <f>ROUND('[2]1.10.2022'!C303*($I303/100+1),2)</f>
        <v>2418.33</v>
      </c>
      <c r="D303" s="355"/>
      <c r="E303" s="259">
        <f>ROUND('[2]1.10.2022'!E303*($J303/100+1),2)</f>
        <v>2395.33</v>
      </c>
      <c r="H303" s="259"/>
      <c r="I303" s="259">
        <f t="shared" si="16"/>
        <v>2.02</v>
      </c>
      <c r="J303" s="259">
        <f t="shared" si="16"/>
        <v>2.02</v>
      </c>
      <c r="K303" s="320"/>
      <c r="L303" s="320">
        <f>(C303-'[2]1.10.2022'!C303)/'[2]1.10.2022'!C303*100</f>
        <v>2.019869645004118</v>
      </c>
      <c r="M303" s="320"/>
      <c r="N303" s="320">
        <f>(E303-'[2]1.10.2022'!E303)/'[2]1.10.2022'!E303*100</f>
        <v>2.020103070829245</v>
      </c>
      <c r="O303" s="320"/>
      <c r="P303" s="320"/>
      <c r="Q303" s="320"/>
    </row>
    <row r="304" spans="1:17" ht="15" customHeight="1">
      <c r="A304" s="327">
        <v>40804008</v>
      </c>
      <c r="B304" s="336" t="s">
        <v>439</v>
      </c>
      <c r="C304" s="259">
        <f>ROUND('[2]1.10.2022'!C304*($I304/100+1),2)</f>
        <v>2759.85</v>
      </c>
      <c r="D304" s="355"/>
      <c r="E304" s="259">
        <f>ROUND('[2]1.10.2022'!E304*($J304/100+1),2)</f>
        <v>2733.59</v>
      </c>
      <c r="H304" s="259"/>
      <c r="I304" s="259">
        <f t="shared" si="16"/>
        <v>2.02</v>
      </c>
      <c r="J304" s="259">
        <f t="shared" si="16"/>
        <v>2.02</v>
      </c>
      <c r="K304" s="320"/>
      <c r="L304" s="320">
        <f>(C304-'[2]1.10.2022'!C304)/'[2]1.10.2022'!C304*100</f>
        <v>2.020183350584064</v>
      </c>
      <c r="M304" s="320"/>
      <c r="N304" s="320">
        <f>(E304-'[2]1.10.2022'!E304)/'[2]1.10.2022'!E304*100</f>
        <v>2.0201831712359994</v>
      </c>
      <c r="O304" s="320"/>
      <c r="P304" s="320"/>
      <c r="Q304" s="320"/>
    </row>
    <row r="305" spans="1:17" ht="15" customHeight="1">
      <c r="A305" s="327">
        <v>40807026</v>
      </c>
      <c r="B305" s="336" t="s">
        <v>428</v>
      </c>
      <c r="C305" s="259">
        <f>ROUND('[2]1.10.2022'!C305*($I305/100+1),2)</f>
        <v>2528.35</v>
      </c>
      <c r="D305" s="355"/>
      <c r="E305" s="259">
        <f>ROUND('[2]1.10.2022'!E305*($J305/100+1),2)</f>
        <v>2504.25</v>
      </c>
      <c r="H305" s="259"/>
      <c r="I305" s="259">
        <f t="shared" si="16"/>
        <v>2.02</v>
      </c>
      <c r="J305" s="259">
        <f t="shared" si="16"/>
        <v>2.02</v>
      </c>
      <c r="K305" s="320"/>
      <c r="L305" s="320">
        <f>(C305-'[2]1.10.2022'!C305)/'[2]1.10.2022'!C305*100</f>
        <v>2.0199411691125713</v>
      </c>
      <c r="M305" s="320"/>
      <c r="N305" s="320">
        <f>(E305-'[2]1.10.2022'!E305)/'[2]1.10.2022'!E305*100</f>
        <v>2.0198234385884835</v>
      </c>
      <c r="O305" s="320"/>
      <c r="P305" s="320"/>
      <c r="Q305" s="320"/>
    </row>
    <row r="306" spans="1:17" ht="15" customHeight="1">
      <c r="A306" s="327">
        <v>40807028</v>
      </c>
      <c r="B306" s="336" t="s">
        <v>440</v>
      </c>
      <c r="C306" s="259">
        <f>ROUND('[2]1.10.2022'!C306*($I306/100+1),2)</f>
        <v>2477.98</v>
      </c>
      <c r="D306" s="355"/>
      <c r="E306" s="259">
        <f>ROUND('[2]1.10.2022'!E306*($J306/100+1),2)</f>
        <v>2454.38</v>
      </c>
      <c r="H306" s="259"/>
      <c r="I306" s="259">
        <f t="shared" si="16"/>
        <v>2.02</v>
      </c>
      <c r="J306" s="259">
        <f t="shared" si="16"/>
        <v>2.02</v>
      </c>
      <c r="K306" s="320"/>
      <c r="L306" s="320">
        <f>(C306-'[2]1.10.2022'!C306)/'[2]1.10.2022'!C306*100</f>
        <v>2.019827742371093</v>
      </c>
      <c r="M306" s="320"/>
      <c r="N306" s="320">
        <f>(E306-'[2]1.10.2022'!E306)/'[2]1.10.2022'!E306*100</f>
        <v>2.020134841922366</v>
      </c>
      <c r="O306" s="320"/>
      <c r="P306" s="320"/>
      <c r="Q306" s="320"/>
    </row>
    <row r="307" spans="1:17" ht="15" customHeight="1">
      <c r="A307" s="327">
        <v>40807027</v>
      </c>
      <c r="B307" s="336" t="s">
        <v>441</v>
      </c>
      <c r="C307" s="259">
        <f>ROUND('[2]1.10.2022'!C307*($I307/100+1),2)</f>
        <v>2307.5</v>
      </c>
      <c r="D307" s="355"/>
      <c r="E307" s="259">
        <f>ROUND('[2]1.10.2022'!E307*($J307/100+1),2)</f>
        <v>2286.01</v>
      </c>
      <c r="H307" s="259"/>
      <c r="I307" s="259">
        <f t="shared" si="16"/>
        <v>2.02</v>
      </c>
      <c r="J307" s="259">
        <f t="shared" si="16"/>
        <v>2.02</v>
      </c>
      <c r="K307" s="320"/>
      <c r="L307" s="320">
        <f>(C307-'[2]1.10.2022'!C307)/'[2]1.10.2022'!C307*100</f>
        <v>2.020063577400403</v>
      </c>
      <c r="M307" s="320"/>
      <c r="N307" s="320">
        <f>(E307-'[2]1.10.2022'!E307)/'[2]1.10.2022'!E307*100</f>
        <v>2.0198594220685138</v>
      </c>
      <c r="O307" s="320"/>
      <c r="P307" s="320"/>
      <c r="Q307" s="320"/>
    </row>
    <row r="308" spans="1:17" ht="15" customHeight="1">
      <c r="A308" s="347"/>
      <c r="B308" s="348"/>
      <c r="C308" s="329"/>
      <c r="D308" s="329"/>
      <c r="E308" s="329"/>
      <c r="H308" s="259"/>
      <c r="I308" s="259"/>
      <c r="J308" s="259"/>
      <c r="K308" s="320"/>
      <c r="L308" s="320"/>
      <c r="M308" s="320"/>
      <c r="N308" s="320"/>
      <c r="O308" s="320"/>
      <c r="P308" s="320"/>
      <c r="Q308" s="320"/>
    </row>
    <row r="309" spans="1:17" ht="15" customHeight="1">
      <c r="A309" s="358" t="s">
        <v>623</v>
      </c>
      <c r="B309" s="348"/>
      <c r="C309" s="349" t="s">
        <v>562</v>
      </c>
      <c r="H309" s="259"/>
      <c r="I309" s="259">
        <f t="shared" si="16"/>
        <v>2.02</v>
      </c>
      <c r="J309" s="259"/>
      <c r="K309" s="320"/>
      <c r="L309" s="320"/>
      <c r="M309" s="320"/>
      <c r="N309" s="320"/>
      <c r="O309" s="320"/>
      <c r="P309" s="320"/>
      <c r="Q309" s="320"/>
    </row>
    <row r="310" spans="1:17" ht="15" customHeight="1">
      <c r="A310" s="327" t="s">
        <v>624</v>
      </c>
      <c r="B310" s="395" t="s">
        <v>230</v>
      </c>
      <c r="C310" s="259">
        <f>ROUND('[2]1.10.2022'!C310*($I310/100+1),2)</f>
        <v>29.88</v>
      </c>
      <c r="D310" s="329"/>
      <c r="I310" s="259">
        <f t="shared" si="16"/>
        <v>2.02</v>
      </c>
      <c r="J310" s="259"/>
      <c r="K310" s="320"/>
      <c r="L310" s="320">
        <f>(C310-'[2]1.10.2022'!C310)/'[2]1.10.2022'!C310*100</f>
        <v>2.0143393649709793</v>
      </c>
      <c r="M310" s="320"/>
      <c r="N310" s="320"/>
      <c r="O310" s="320"/>
      <c r="P310" s="320"/>
      <c r="Q310" s="320"/>
    </row>
    <row r="311" spans="1:17" ht="15" customHeight="1">
      <c r="A311" s="327" t="s">
        <v>625</v>
      </c>
      <c r="B311" s="395" t="s">
        <v>231</v>
      </c>
      <c r="C311" s="259">
        <f>ROUND('[2]1.10.2022'!C311*($I311/100+1),2)</f>
        <v>29.31</v>
      </c>
      <c r="D311" s="329"/>
      <c r="I311" s="259">
        <f t="shared" si="16"/>
        <v>2.02</v>
      </c>
      <c r="J311" s="259"/>
      <c r="K311" s="320"/>
      <c r="L311" s="320">
        <f>(C311-'[2]1.10.2022'!C311)/'[2]1.10.2022'!C311*100</f>
        <v>2.018795683954049</v>
      </c>
      <c r="M311" s="320"/>
      <c r="N311" s="320"/>
      <c r="O311" s="320"/>
      <c r="P311" s="320"/>
      <c r="Q311" s="320"/>
    </row>
    <row r="312" spans="1:17" ht="15" customHeight="1">
      <c r="A312" s="327" t="s">
        <v>626</v>
      </c>
      <c r="B312" s="395" t="s">
        <v>201</v>
      </c>
      <c r="C312" s="259">
        <f>ROUND('[2]1.10.2022'!C312*($I312/100+1),2)</f>
        <v>27.46</v>
      </c>
      <c r="D312" s="329"/>
      <c r="H312" s="259"/>
      <c r="I312" s="259">
        <f t="shared" si="16"/>
        <v>2.02</v>
      </c>
      <c r="J312" s="259"/>
      <c r="K312" s="320"/>
      <c r="L312" s="320">
        <f>(C312-'[2]1.10.2022'!C312)/'[2]1.10.2022'!C312*100</f>
        <v>2.0059435364041573</v>
      </c>
      <c r="M312" s="320"/>
      <c r="N312" s="320"/>
      <c r="O312" s="320"/>
      <c r="P312" s="320"/>
      <c r="Q312" s="320"/>
    </row>
    <row r="313" spans="1:17" ht="15" customHeight="1">
      <c r="A313" s="347"/>
      <c r="B313" s="348"/>
      <c r="C313" s="329"/>
      <c r="D313" s="329"/>
      <c r="E313" s="329"/>
      <c r="H313" s="259"/>
      <c r="I313" s="259"/>
      <c r="J313" s="259"/>
      <c r="K313" s="320"/>
      <c r="L313" s="320"/>
      <c r="M313" s="320"/>
      <c r="N313" s="320"/>
      <c r="O313" s="320"/>
      <c r="P313" s="320"/>
      <c r="Q313" s="320"/>
    </row>
    <row r="314" spans="1:17" ht="15" customHeight="1">
      <c r="A314" s="358" t="s">
        <v>627</v>
      </c>
      <c r="B314" s="348"/>
      <c r="C314" s="17" t="s">
        <v>162</v>
      </c>
      <c r="D314" s="324" t="s">
        <v>163</v>
      </c>
      <c r="E314" s="17" t="s">
        <v>162</v>
      </c>
      <c r="F314" s="324" t="s">
        <v>163</v>
      </c>
      <c r="H314" s="259"/>
      <c r="I314" s="259"/>
      <c r="J314" s="259"/>
      <c r="K314" s="320"/>
      <c r="L314" s="320"/>
      <c r="M314" s="320"/>
      <c r="N314" s="320"/>
      <c r="O314" s="320"/>
      <c r="P314" s="320"/>
      <c r="Q314" s="320"/>
    </row>
    <row r="315" spans="1:17" ht="15" customHeight="1">
      <c r="A315" s="358" t="s">
        <v>518</v>
      </c>
      <c r="B315" s="348"/>
      <c r="C315" s="326" t="s">
        <v>2</v>
      </c>
      <c r="D315" s="326" t="s">
        <v>2</v>
      </c>
      <c r="E315" s="326" t="s">
        <v>3</v>
      </c>
      <c r="F315" s="326" t="s">
        <v>3</v>
      </c>
      <c r="I315" s="259"/>
      <c r="J315" s="259"/>
      <c r="K315" s="320"/>
      <c r="L315" s="320"/>
      <c r="M315" s="320"/>
      <c r="N315" s="320"/>
      <c r="O315" s="320"/>
      <c r="P315" s="320"/>
      <c r="Q315" s="320"/>
    </row>
    <row r="316" spans="1:17" ht="15" customHeight="1">
      <c r="A316" s="327">
        <v>40501001</v>
      </c>
      <c r="B316" s="336" t="s">
        <v>442</v>
      </c>
      <c r="C316" s="259">
        <f>ROUND('[2]1.10.2022'!C316*($I316/100+1),2)</f>
        <v>3430.36</v>
      </c>
      <c r="D316" s="259">
        <f>ROUND('[2]1.10.2022'!D316*($I316/100+1),2)</f>
        <v>3999.6</v>
      </c>
      <c r="E316" s="259">
        <f>ROUND('[2]1.10.2022'!E316*($J316/100+1),2)</f>
        <v>3404.14</v>
      </c>
      <c r="F316" s="259">
        <f>ROUND('[2]1.10.2022'!F316*($J316/100+1),2)</f>
        <v>3961.27</v>
      </c>
      <c r="G316" s="324"/>
      <c r="H316" s="324"/>
      <c r="I316" s="259">
        <f aca="true" t="shared" si="17" ref="I316:J319">$I$1</f>
        <v>2.02</v>
      </c>
      <c r="J316" s="259">
        <f t="shared" si="17"/>
        <v>2.02</v>
      </c>
      <c r="K316" s="320"/>
      <c r="L316" s="320">
        <f>(C316-'[2]1.10.2022'!C316)/'[2]1.10.2022'!C316*100</f>
        <v>2.01996169448377</v>
      </c>
      <c r="M316" s="320">
        <f>(D316-'[2]1.10.2022'!D316)/'[2]1.10.2022'!D316*100</f>
        <v>2.019941791802389</v>
      </c>
      <c r="N316" s="320">
        <f>(E316-'[2]1.10.2022'!E316)/'[2]1.10.2022'!E316*100</f>
        <v>2.019935625790445</v>
      </c>
      <c r="O316" s="320">
        <f>(F316-'[2]1.10.2022'!F316)/'[2]1.10.2022'!F316*100</f>
        <v>2.019913259366851</v>
      </c>
      <c r="P316" s="320"/>
      <c r="Q316" s="320"/>
    </row>
    <row r="317" spans="1:17" ht="15" customHeight="1">
      <c r="A317" s="327">
        <v>40501002</v>
      </c>
      <c r="B317" s="336" t="s">
        <v>443</v>
      </c>
      <c r="C317" s="259">
        <f>ROUND('[2]1.10.2022'!C317*($I317/100+1),2)</f>
        <v>3430.36</v>
      </c>
      <c r="D317" s="259">
        <f>ROUND('[2]1.10.2022'!D317*($I317/100+1),2)</f>
        <v>3999.6</v>
      </c>
      <c r="E317" s="259">
        <f>ROUND('[2]1.10.2022'!E317*($J317/100+1),2)</f>
        <v>3404.14</v>
      </c>
      <c r="F317" s="259">
        <f>ROUND('[2]1.10.2022'!F317*($J317/100+1),2)</f>
        <v>3961.27</v>
      </c>
      <c r="G317" s="317"/>
      <c r="H317" s="317"/>
      <c r="I317" s="259">
        <f t="shared" si="17"/>
        <v>2.02</v>
      </c>
      <c r="J317" s="259">
        <f t="shared" si="17"/>
        <v>2.02</v>
      </c>
      <c r="K317" s="320"/>
      <c r="L317" s="320">
        <f>(C317-'[2]1.10.2022'!C317)/'[2]1.10.2022'!C317*100</f>
        <v>2.01996169448377</v>
      </c>
      <c r="M317" s="320">
        <f>(D317-'[2]1.10.2022'!D317)/'[2]1.10.2022'!D317*100</f>
        <v>2.019941791802389</v>
      </c>
      <c r="N317" s="320">
        <f>(E317-'[2]1.10.2022'!E317)/'[2]1.10.2022'!E317*100</f>
        <v>2.019935625790445</v>
      </c>
      <c r="O317" s="320">
        <f>(F317-'[2]1.10.2022'!F317)/'[2]1.10.2022'!F317*100</f>
        <v>2.019913259366851</v>
      </c>
      <c r="P317" s="320"/>
      <c r="Q317" s="320"/>
    </row>
    <row r="318" spans="1:17" ht="15" customHeight="1">
      <c r="A318" s="327">
        <v>40504004</v>
      </c>
      <c r="B318" s="336" t="s">
        <v>444</v>
      </c>
      <c r="C318" s="259">
        <f>ROUND('[2]1.10.2022'!C318*($I318/100+1),2)</f>
        <v>2353.03</v>
      </c>
      <c r="D318" s="259">
        <f>ROUND('[2]1.10.2022'!D318*($I318/100+1),2)</f>
        <v>2668.21</v>
      </c>
      <c r="E318" s="259">
        <f>ROUND('[2]1.10.2022'!E318*($J318/100+1),2)</f>
        <v>2332.27</v>
      </c>
      <c r="F318" s="259">
        <f>ROUND('[2]1.10.2022'!F318*($J318/100+1),2)</f>
        <v>2642.7</v>
      </c>
      <c r="G318" s="329"/>
      <c r="H318" s="259"/>
      <c r="I318" s="259">
        <f t="shared" si="17"/>
        <v>2.02</v>
      </c>
      <c r="J318" s="259">
        <f t="shared" si="17"/>
        <v>2.02</v>
      </c>
      <c r="K318" s="320"/>
      <c r="L318" s="320">
        <f>(C318-'[2]1.10.2022'!C318)/'[2]1.10.2022'!C318*100</f>
        <v>2.0199961845961805</v>
      </c>
      <c r="M318" s="320">
        <f>(D318-'[2]1.10.2022'!D318)/'[2]1.10.2022'!D318*100</f>
        <v>2.019974152895561</v>
      </c>
      <c r="N318" s="320">
        <f>(E318-'[2]1.10.2022'!E318)/'[2]1.10.2022'!E318*100</f>
        <v>2.0200429554391923</v>
      </c>
      <c r="O318" s="320">
        <f>(F318-'[2]1.10.2022'!F318)/'[2]1.10.2022'!F318*100</f>
        <v>2.0201747240741645</v>
      </c>
      <c r="P318" s="320"/>
      <c r="Q318" s="320"/>
    </row>
    <row r="319" spans="1:17" ht="15" customHeight="1">
      <c r="A319" s="327">
        <v>40504005</v>
      </c>
      <c r="B319" s="336" t="s">
        <v>445</v>
      </c>
      <c r="C319" s="259">
        <f>ROUND('[2]1.10.2022'!C319*($I319/100+1),2)</f>
        <v>2441.75</v>
      </c>
      <c r="D319" s="259">
        <f>ROUND('[2]1.10.2022'!D319*($I319/100+1),2)</f>
        <v>2816.54</v>
      </c>
      <c r="E319" s="259">
        <f>ROUND('[2]1.10.2022'!E319*($J319/100+1),2)</f>
        <v>2419.57</v>
      </c>
      <c r="F319" s="259">
        <f>ROUND('[2]1.10.2022'!F319*($J319/100+1),2)</f>
        <v>2789.58</v>
      </c>
      <c r="G319" s="329"/>
      <c r="H319" s="259"/>
      <c r="I319" s="259">
        <f t="shared" si="17"/>
        <v>2.02</v>
      </c>
      <c r="J319" s="259">
        <f t="shared" si="17"/>
        <v>2.02</v>
      </c>
      <c r="K319" s="320"/>
      <c r="L319" s="320">
        <f>(C319-'[2]1.10.2022'!C319)/'[2]1.10.2022'!C319*100</f>
        <v>2.020138714799027</v>
      </c>
      <c r="M319" s="320">
        <f>(D319-'[2]1.10.2022'!D319)/'[2]1.10.2022'!D319*100</f>
        <v>2.020088598470716</v>
      </c>
      <c r="N319" s="320">
        <f>(E319-'[2]1.10.2022'!E319)/'[2]1.10.2022'!E319*100</f>
        <v>2.0201040621337087</v>
      </c>
      <c r="O319" s="320">
        <f>(F319-'[2]1.10.2022'!F319)/'[2]1.10.2022'!F319*100</f>
        <v>2.0198584672774156</v>
      </c>
      <c r="P319" s="320"/>
      <c r="Q319" s="320"/>
    </row>
    <row r="320" spans="1:17" ht="15" customHeight="1">
      <c r="A320" s="347"/>
      <c r="B320" s="348"/>
      <c r="C320" s="329"/>
      <c r="D320" s="329"/>
      <c r="E320" s="329"/>
      <c r="F320" s="329"/>
      <c r="G320" s="329"/>
      <c r="H320" s="259"/>
      <c r="I320" s="259"/>
      <c r="J320" s="259"/>
      <c r="K320" s="320"/>
      <c r="L320" s="320"/>
      <c r="M320" s="320"/>
      <c r="N320" s="320"/>
      <c r="O320" s="320"/>
      <c r="P320" s="320"/>
      <c r="Q320" s="320"/>
    </row>
    <row r="321" spans="1:17" ht="15" customHeight="1">
      <c r="A321" s="358" t="s">
        <v>628</v>
      </c>
      <c r="B321" s="348"/>
      <c r="C321" s="396" t="s">
        <v>162</v>
      </c>
      <c r="D321" s="397" t="s">
        <v>163</v>
      </c>
      <c r="E321" s="329"/>
      <c r="F321" s="329"/>
      <c r="G321" s="329"/>
      <c r="H321" s="259"/>
      <c r="I321" s="259"/>
      <c r="J321" s="259"/>
      <c r="K321" s="320"/>
      <c r="L321" s="320"/>
      <c r="M321" s="320"/>
      <c r="N321" s="320"/>
      <c r="O321" s="320"/>
      <c r="P321" s="320"/>
      <c r="Q321" s="320"/>
    </row>
    <row r="322" spans="1:17" ht="15" customHeight="1">
      <c r="A322" s="327" t="s">
        <v>629</v>
      </c>
      <c r="B322" s="395" t="s">
        <v>195</v>
      </c>
      <c r="C322" s="259">
        <f>ROUND('[2]1.10.2022'!C322*($I322/100+1),2)</f>
        <v>26.26</v>
      </c>
      <c r="D322" s="259">
        <f>ROUND('[2]1.10.2022'!D322*($I322/100+1),2)</f>
        <v>33.64</v>
      </c>
      <c r="E322" s="329"/>
      <c r="F322" s="329"/>
      <c r="G322" s="329"/>
      <c r="H322" s="329"/>
      <c r="I322" s="259">
        <f>$I$1</f>
        <v>2.02</v>
      </c>
      <c r="J322" s="259"/>
      <c r="K322" s="320"/>
      <c r="L322" s="320">
        <f>(C322-'[2]1.10.2022'!C322)/'[2]1.10.2022'!C322*100</f>
        <v>2.0202020202020323</v>
      </c>
      <c r="M322" s="320">
        <f>(D322-'[2]1.10.2022'!D322)/'[2]1.10.2022'!D322*100</f>
        <v>2.032150439793757</v>
      </c>
      <c r="N322" s="320"/>
      <c r="O322" s="320"/>
      <c r="P322" s="320"/>
      <c r="Q322" s="320"/>
    </row>
    <row r="323" spans="1:17" ht="15" customHeight="1">
      <c r="A323" s="347"/>
      <c r="B323" s="398"/>
      <c r="C323" s="329"/>
      <c r="D323" s="329"/>
      <c r="E323" s="329"/>
      <c r="F323" s="329"/>
      <c r="G323" s="329"/>
      <c r="H323" s="259"/>
      <c r="I323" s="259"/>
      <c r="J323" s="259"/>
      <c r="K323" s="320"/>
      <c r="L323" s="320"/>
      <c r="M323" s="320"/>
      <c r="N323" s="320"/>
      <c r="O323" s="320"/>
      <c r="P323" s="320"/>
      <c r="Q323" s="320"/>
    </row>
    <row r="324" spans="1:17" ht="15" customHeight="1">
      <c r="A324" s="358" t="s">
        <v>630</v>
      </c>
      <c r="B324" s="398"/>
      <c r="C324" s="17" t="s">
        <v>162</v>
      </c>
      <c r="D324" s="324" t="s">
        <v>163</v>
      </c>
      <c r="E324" s="17" t="s">
        <v>162</v>
      </c>
      <c r="F324" s="324" t="s">
        <v>163</v>
      </c>
      <c r="G324" s="329"/>
      <c r="H324" s="329"/>
      <c r="I324" s="259"/>
      <c r="J324" s="259"/>
      <c r="K324" s="320"/>
      <c r="L324" s="320"/>
      <c r="M324" s="320"/>
      <c r="N324" s="320"/>
      <c r="O324" s="320"/>
      <c r="P324" s="320"/>
      <c r="Q324" s="320"/>
    </row>
    <row r="325" spans="1:17" ht="15" customHeight="1">
      <c r="A325" s="358" t="s">
        <v>542</v>
      </c>
      <c r="B325" s="398"/>
      <c r="C325" s="326" t="s">
        <v>2</v>
      </c>
      <c r="D325" s="326" t="s">
        <v>2</v>
      </c>
      <c r="E325" s="326" t="s">
        <v>3</v>
      </c>
      <c r="F325" s="326" t="s">
        <v>3</v>
      </c>
      <c r="G325" s="329"/>
      <c r="H325" s="329"/>
      <c r="I325" s="259"/>
      <c r="J325" s="259"/>
      <c r="K325" s="320"/>
      <c r="L325" s="320"/>
      <c r="M325" s="320"/>
      <c r="N325" s="320"/>
      <c r="O325" s="320"/>
      <c r="P325" s="320"/>
      <c r="Q325" s="320"/>
    </row>
    <row r="326" spans="1:17" ht="15" customHeight="1">
      <c r="A326" s="327">
        <v>40601001</v>
      </c>
      <c r="B326" s="336" t="s">
        <v>424</v>
      </c>
      <c r="C326" s="259">
        <f>ROUND('[2]1.10.2022'!C326*($I326/100+1),2)</f>
        <v>3891.71</v>
      </c>
      <c r="D326" s="259">
        <f>ROUND('[2]1.10.2022'!D326*($I326/100+1),2)</f>
        <v>4699.81</v>
      </c>
      <c r="E326" s="259">
        <f>ROUND('[2]1.10.2022'!E326*($J326/100+1),2)</f>
        <v>3854.46</v>
      </c>
      <c r="F326" s="259">
        <f>ROUND('[2]1.10.2022'!F326*($J326/100+1),2)</f>
        <v>4656.46</v>
      </c>
      <c r="G326" s="324"/>
      <c r="H326" s="324"/>
      <c r="I326" s="259">
        <f aca="true" t="shared" si="18" ref="I326:J331">$I$1</f>
        <v>2.02</v>
      </c>
      <c r="J326" s="259">
        <f t="shared" si="18"/>
        <v>2.02</v>
      </c>
      <c r="K326" s="320"/>
      <c r="L326" s="320">
        <f>(C326-'[2]1.10.2022'!C326)/'[2]1.10.2022'!C326*100</f>
        <v>2.020106693929979</v>
      </c>
      <c r="M326" s="320">
        <f>(D326-'[2]1.10.2022'!D326)/'[2]1.10.2022'!D326*100</f>
        <v>2.02007923156239</v>
      </c>
      <c r="N326" s="320">
        <f>(E326-'[2]1.10.2022'!E326)/'[2]1.10.2022'!E326*100</f>
        <v>2.020041607775259</v>
      </c>
      <c r="O326" s="320">
        <f>(F326-'[2]1.10.2022'!F326)/'[2]1.10.2022'!F326*100</f>
        <v>2.020042679426672</v>
      </c>
      <c r="P326" s="320"/>
      <c r="Q326" s="320"/>
    </row>
    <row r="327" spans="1:17" ht="15" customHeight="1">
      <c r="A327" s="327">
        <v>40602002</v>
      </c>
      <c r="B327" s="336" t="s">
        <v>435</v>
      </c>
      <c r="C327" s="259">
        <f>ROUND('[2]1.10.2022'!C327*($I327/100+1),2)</f>
        <v>3294.8</v>
      </c>
      <c r="D327" s="259">
        <f>ROUND('[2]1.10.2022'!D327*($I327/100+1),2)</f>
        <v>4164.33</v>
      </c>
      <c r="E327" s="259">
        <f>ROUND('[2]1.10.2022'!E327*($J327/100+1),2)</f>
        <v>3263.26</v>
      </c>
      <c r="F327" s="259">
        <f>ROUND('[2]1.10.2022'!F327*($J327/100+1),2)</f>
        <v>4124.53</v>
      </c>
      <c r="G327" s="317"/>
      <c r="H327" s="317"/>
      <c r="I327" s="259">
        <f t="shared" si="18"/>
        <v>2.02</v>
      </c>
      <c r="J327" s="259">
        <f t="shared" si="18"/>
        <v>2.02</v>
      </c>
      <c r="K327" s="320"/>
      <c r="L327" s="320">
        <f>(C327-'[2]1.10.2022'!C327)/'[2]1.10.2022'!C327*100</f>
        <v>2.0200894239463034</v>
      </c>
      <c r="M327" s="320">
        <f>(D327-'[2]1.10.2022'!D327)/'[2]1.10.2022'!D327*100</f>
        <v>2.019902593902805</v>
      </c>
      <c r="N327" s="320">
        <f>(E327-'[2]1.10.2022'!E327)/'[2]1.10.2022'!E327*100</f>
        <v>2.019914651493603</v>
      </c>
      <c r="O327" s="320">
        <f>(F327-'[2]1.10.2022'!F327)/'[2]1.10.2022'!F327*100</f>
        <v>2.020104579431383</v>
      </c>
      <c r="P327" s="320"/>
      <c r="Q327" s="320"/>
    </row>
    <row r="328" spans="1:17" ht="15" customHeight="1">
      <c r="A328" s="327">
        <v>40604006</v>
      </c>
      <c r="B328" s="336" t="s">
        <v>436</v>
      </c>
      <c r="C328" s="259">
        <f>ROUND('[2]1.10.2022'!C328*($I328/100+1),2)</f>
        <v>2772.61</v>
      </c>
      <c r="D328" s="259"/>
      <c r="E328" s="259">
        <f>ROUND('[2]1.10.2022'!E328*($J328/100+1),2)</f>
        <v>2746.34</v>
      </c>
      <c r="F328" s="338"/>
      <c r="G328" s="329"/>
      <c r="H328" s="259"/>
      <c r="I328" s="259">
        <f t="shared" si="18"/>
        <v>2.02</v>
      </c>
      <c r="J328" s="259">
        <f t="shared" si="18"/>
        <v>2.02</v>
      </c>
      <c r="K328" s="320"/>
      <c r="L328" s="320">
        <f>(C328-'[2]1.10.2022'!C328)/'[2]1.10.2022'!C328*100</f>
        <v>2.020083084655835</v>
      </c>
      <c r="M328" s="320"/>
      <c r="N328" s="320">
        <f>(E328-'[2]1.10.2022'!E328)/'[2]1.10.2022'!E328*100</f>
        <v>2.020089451552033</v>
      </c>
      <c r="O328" s="320"/>
      <c r="P328" s="320"/>
      <c r="Q328" s="320"/>
    </row>
    <row r="329" spans="1:17" ht="15" customHeight="1">
      <c r="A329" s="327">
        <v>40604007</v>
      </c>
      <c r="B329" s="336" t="s">
        <v>446</v>
      </c>
      <c r="C329" s="259">
        <f>ROUND('[2]1.10.2022'!C329*($I329/100+1),2)</f>
        <v>2494.67</v>
      </c>
      <c r="D329" s="259"/>
      <c r="E329" s="259">
        <f>ROUND('[2]1.10.2022'!E329*($J329/100+1),2)</f>
        <v>2471.05</v>
      </c>
      <c r="F329" s="259"/>
      <c r="G329" s="329"/>
      <c r="H329" s="259"/>
      <c r="I329" s="259">
        <f t="shared" si="18"/>
        <v>2.02</v>
      </c>
      <c r="J329" s="259">
        <f t="shared" si="18"/>
        <v>2.02</v>
      </c>
      <c r="K329" s="320"/>
      <c r="L329" s="320">
        <f>(C329-'[2]1.10.2022'!C329)/'[2]1.10.2022'!C329*100</f>
        <v>2.019809592357516</v>
      </c>
      <c r="M329" s="320"/>
      <c r="N329" s="320">
        <f>(E329-'[2]1.10.2022'!E329)/'[2]1.10.2022'!E329*100</f>
        <v>2.020131124799774</v>
      </c>
      <c r="O329" s="320"/>
      <c r="P329" s="320"/>
      <c r="Q329" s="320"/>
    </row>
    <row r="330" spans="1:17" ht="15" customHeight="1">
      <c r="A330" s="327">
        <v>40604008</v>
      </c>
      <c r="B330" s="336" t="s">
        <v>447</v>
      </c>
      <c r="C330" s="259">
        <f>ROUND('[2]1.10.2022'!C330*($I330/100+1),2)</f>
        <v>3069.66</v>
      </c>
      <c r="D330" s="259">
        <f>ROUND('[2]1.10.2022'!D330*($I330/100+1),2)</f>
        <v>3406.7</v>
      </c>
      <c r="E330" s="399"/>
      <c r="F330" s="337"/>
      <c r="H330" s="259"/>
      <c r="I330" s="259">
        <f t="shared" si="18"/>
        <v>2.02</v>
      </c>
      <c r="J330" s="259">
        <f t="shared" si="18"/>
        <v>2.02</v>
      </c>
      <c r="K330" s="320"/>
      <c r="L330" s="320">
        <f>(C330-'[2]1.10.2022'!C330)/'[2]1.10.2022'!C330*100</f>
        <v>2.020020738613695</v>
      </c>
      <c r="M330" s="320">
        <f>(D330-'[2]1.10.2022'!D330)/'[2]1.10.2022'!D330*100</f>
        <v>2.0199146514935937</v>
      </c>
      <c r="N330" s="320"/>
      <c r="O330" s="320"/>
      <c r="P330" s="320"/>
      <c r="Q330" s="320"/>
    </row>
    <row r="331" spans="1:17" ht="15" customHeight="1">
      <c r="A331" s="327">
        <v>40604009</v>
      </c>
      <c r="B331" s="336" t="s">
        <v>448</v>
      </c>
      <c r="C331" s="259">
        <f>ROUND('[2]1.10.2022'!C331*($I331/100+1),2)</f>
        <v>2776.33</v>
      </c>
      <c r="D331" s="259">
        <f>ROUND('[2]1.10.2022'!D331*($I331/100+1),2)</f>
        <v>3021.25</v>
      </c>
      <c r="E331" s="399"/>
      <c r="F331" s="337"/>
      <c r="H331" s="259"/>
      <c r="I331" s="259">
        <f t="shared" si="18"/>
        <v>2.02</v>
      </c>
      <c r="J331" s="259">
        <f t="shared" si="18"/>
        <v>2.02</v>
      </c>
      <c r="K331" s="320"/>
      <c r="L331" s="320">
        <f>(C331-'[2]1.10.2022'!C331)/'[2]1.10.2022'!C331*100</f>
        <v>2.0199459093982344</v>
      </c>
      <c r="M331" s="320">
        <f>(D331-'[2]1.10.2022'!D331)/'[2]1.10.2022'!D331*100</f>
        <v>2.0199700820211914</v>
      </c>
      <c r="N331" s="320"/>
      <c r="O331" s="320"/>
      <c r="P331" s="320"/>
      <c r="Q331" s="320"/>
    </row>
    <row r="332" spans="1:17" ht="15" customHeight="1">
      <c r="A332" s="347"/>
      <c r="B332" s="348"/>
      <c r="C332" s="329"/>
      <c r="E332" s="329"/>
      <c r="H332" s="259"/>
      <c r="I332" s="259"/>
      <c r="J332" s="259"/>
      <c r="K332" s="320"/>
      <c r="L332" s="320"/>
      <c r="M332" s="320"/>
      <c r="N332" s="320"/>
      <c r="O332" s="320"/>
      <c r="P332" s="320"/>
      <c r="Q332" s="320"/>
    </row>
    <row r="333" spans="1:17" ht="15" customHeight="1">
      <c r="A333" s="358" t="s">
        <v>628</v>
      </c>
      <c r="B333" s="348"/>
      <c r="C333" s="396" t="s">
        <v>162</v>
      </c>
      <c r="D333" s="397" t="s">
        <v>163</v>
      </c>
      <c r="E333" s="329"/>
      <c r="H333" s="259"/>
      <c r="I333" s="259"/>
      <c r="J333" s="259"/>
      <c r="K333" s="320"/>
      <c r="L333" s="320"/>
      <c r="M333" s="320"/>
      <c r="N333" s="320"/>
      <c r="O333" s="320"/>
      <c r="P333" s="320"/>
      <c r="Q333" s="320"/>
    </row>
    <row r="334" spans="1:17" ht="15" customHeight="1">
      <c r="A334" s="327" t="s">
        <v>631</v>
      </c>
      <c r="B334" s="395" t="s">
        <v>197</v>
      </c>
      <c r="C334" s="259">
        <f>ROUND('[2]1.10.2022'!C334*($I334/100+1),2)</f>
        <v>26.74</v>
      </c>
      <c r="D334" s="259">
        <f>ROUND('[2]1.10.2022'!D334*($I334/100+1),2)</f>
        <v>30.67</v>
      </c>
      <c r="E334" s="329"/>
      <c r="I334" s="259">
        <f>$I$1</f>
        <v>2.02</v>
      </c>
      <c r="J334" s="259"/>
      <c r="K334" s="320"/>
      <c r="L334" s="320">
        <f>(C334-'[2]1.10.2022'!C334)/'[2]1.10.2022'!C334*100</f>
        <v>2.0221289584128104</v>
      </c>
      <c r="M334" s="320">
        <f>(D334-'[2]1.10.2022'!D334)/'[2]1.10.2022'!D334*100</f>
        <v>2.029274783765812</v>
      </c>
      <c r="N334" s="320"/>
      <c r="O334" s="320"/>
      <c r="P334" s="320"/>
      <c r="Q334" s="320"/>
    </row>
    <row r="335" spans="1:17" ht="15" customHeight="1">
      <c r="A335" s="347"/>
      <c r="B335" s="348"/>
      <c r="C335" s="329"/>
      <c r="D335" s="329"/>
      <c r="E335" s="329"/>
      <c r="I335" s="259"/>
      <c r="J335" s="259"/>
      <c r="K335" s="320"/>
      <c r="L335" s="320"/>
      <c r="M335" s="320"/>
      <c r="N335" s="320"/>
      <c r="O335" s="320"/>
      <c r="P335" s="320"/>
      <c r="Q335" s="320"/>
    </row>
    <row r="336" spans="1:17" ht="15" customHeight="1">
      <c r="A336" s="358" t="s">
        <v>514</v>
      </c>
      <c r="B336" s="348"/>
      <c r="C336" s="365" t="s">
        <v>524</v>
      </c>
      <c r="D336" s="329"/>
      <c r="E336" s="329"/>
      <c r="H336" s="259"/>
      <c r="I336" s="259"/>
      <c r="J336" s="259"/>
      <c r="K336" s="320"/>
      <c r="L336" s="320"/>
      <c r="M336" s="320"/>
      <c r="N336" s="320"/>
      <c r="O336" s="320"/>
      <c r="P336" s="320"/>
      <c r="Q336" s="320"/>
    </row>
    <row r="337" spans="1:17" ht="15" customHeight="1">
      <c r="A337" s="347"/>
      <c r="B337" s="395" t="s">
        <v>632</v>
      </c>
      <c r="C337" s="259">
        <f>ROUND('[2]1.10.2022'!C337*($I337/100+1),2)</f>
        <v>70.27</v>
      </c>
      <c r="D337" s="329"/>
      <c r="E337" s="329"/>
      <c r="I337" s="259">
        <f>$I$1</f>
        <v>2.02</v>
      </c>
      <c r="J337" s="259"/>
      <c r="K337" s="320"/>
      <c r="L337" s="320">
        <f>(C337-'[2]1.10.2022'!C337)/'[2]1.10.2022'!C337*100</f>
        <v>2.0180023228803727</v>
      </c>
      <c r="M337" s="320"/>
      <c r="N337" s="320"/>
      <c r="O337" s="320"/>
      <c r="P337" s="320"/>
      <c r="Q337" s="320"/>
    </row>
    <row r="338" spans="1:17" ht="15" customHeight="1">
      <c r="A338" s="347"/>
      <c r="B338" s="348"/>
      <c r="C338" s="329"/>
      <c r="D338" s="329"/>
      <c r="E338" s="329"/>
      <c r="I338" s="259"/>
      <c r="J338" s="259"/>
      <c r="K338" s="320"/>
      <c r="L338" s="320"/>
      <c r="M338" s="320"/>
      <c r="N338" s="320"/>
      <c r="O338" s="320"/>
      <c r="P338" s="320"/>
      <c r="Q338" s="320"/>
    </row>
    <row r="339" spans="1:17" ht="15" customHeight="1">
      <c r="A339" s="358" t="s">
        <v>633</v>
      </c>
      <c r="B339" s="359"/>
      <c r="C339" s="17" t="s">
        <v>162</v>
      </c>
      <c r="D339" s="324" t="s">
        <v>163</v>
      </c>
      <c r="E339" s="17" t="s">
        <v>162</v>
      </c>
      <c r="F339" s="324" t="s">
        <v>163</v>
      </c>
      <c r="I339" s="259"/>
      <c r="J339" s="259"/>
      <c r="K339" s="320"/>
      <c r="L339" s="320"/>
      <c r="M339" s="320"/>
      <c r="N339" s="320"/>
      <c r="O339" s="320"/>
      <c r="P339" s="320"/>
      <c r="Q339" s="320"/>
    </row>
    <row r="340" spans="1:17" ht="15" customHeight="1">
      <c r="A340" s="358" t="s">
        <v>542</v>
      </c>
      <c r="B340" s="359"/>
      <c r="C340" s="326" t="s">
        <v>2</v>
      </c>
      <c r="D340" s="326" t="s">
        <v>2</v>
      </c>
      <c r="E340" s="326" t="s">
        <v>3</v>
      </c>
      <c r="F340" s="326" t="s">
        <v>3</v>
      </c>
      <c r="I340" s="259"/>
      <c r="J340" s="259"/>
      <c r="K340" s="320"/>
      <c r="L340" s="320"/>
      <c r="M340" s="320"/>
      <c r="N340" s="320"/>
      <c r="O340" s="320"/>
      <c r="P340" s="320"/>
      <c r="Q340" s="320"/>
    </row>
    <row r="341" spans="1:17" ht="15" customHeight="1">
      <c r="A341" s="327">
        <v>40701011</v>
      </c>
      <c r="B341" s="336" t="s">
        <v>424</v>
      </c>
      <c r="C341" s="259">
        <f>ROUND('[2]1.10.2022'!C341*($I341/100+1),2)</f>
        <v>3782.69</v>
      </c>
      <c r="D341" s="259">
        <f>ROUND('[2]1.10.2022'!D341*($I341/100+1),2)</f>
        <v>4523.26</v>
      </c>
      <c r="E341" s="259">
        <f>ROUND('[2]1.10.2022'!E341*($J341/100+1),2)</f>
        <v>3746.51</v>
      </c>
      <c r="F341" s="259">
        <f>ROUND('[2]1.10.2022'!F341*($J341/100+1),2)</f>
        <v>4464.12</v>
      </c>
      <c r="G341" s="324"/>
      <c r="H341" s="324"/>
      <c r="I341" s="259">
        <f aca="true" t="shared" si="19" ref="I341:J344">$I$1</f>
        <v>2.02</v>
      </c>
      <c r="J341" s="259">
        <f t="shared" si="19"/>
        <v>2.02</v>
      </c>
      <c r="K341" s="320"/>
      <c r="L341" s="320">
        <f>(C341-'[2]1.10.2022'!C341)/'[2]1.10.2022'!C341*100</f>
        <v>2.0200712553839373</v>
      </c>
      <c r="M341" s="320">
        <f>(D341-'[2]1.10.2022'!D341)/'[2]1.10.2022'!D341*100</f>
        <v>2.019983309651091</v>
      </c>
      <c r="N341" s="320">
        <f>(E341-'[2]1.10.2022'!E341)/'[2]1.10.2022'!E341*100</f>
        <v>2.019970972107634</v>
      </c>
      <c r="O341" s="320">
        <f>(F341-'[2]1.10.2022'!F341)/'[2]1.10.2022'!F341*100</f>
        <v>2.0200058047457303</v>
      </c>
      <c r="P341" s="320"/>
      <c r="Q341" s="320"/>
    </row>
    <row r="342" spans="1:17" ht="15" customHeight="1">
      <c r="A342" s="327">
        <v>40704021</v>
      </c>
      <c r="B342" s="336" t="s">
        <v>449</v>
      </c>
      <c r="C342" s="259">
        <f>ROUND('[2]1.10.2022'!C342*($I342/100+1),2)</f>
        <v>3506.94</v>
      </c>
      <c r="D342" s="399"/>
      <c r="E342" s="259">
        <f>ROUND('[2]1.10.2022'!E342*($J342/100+1),2)</f>
        <v>3473.67</v>
      </c>
      <c r="F342" s="337"/>
      <c r="H342" s="259"/>
      <c r="I342" s="259">
        <f t="shared" si="19"/>
        <v>2.02</v>
      </c>
      <c r="J342" s="259">
        <f t="shared" si="19"/>
        <v>2.02</v>
      </c>
      <c r="K342" s="320"/>
      <c r="L342" s="320">
        <f>(C342-'[2]1.10.2022'!C342)/'[2]1.10.2022'!C342*100</f>
        <v>2.020072727272729</v>
      </c>
      <c r="M342" s="320"/>
      <c r="N342" s="320">
        <f>(E342-'[2]1.10.2022'!E342)/'[2]1.10.2022'!E342*100</f>
        <v>2.020035889558846</v>
      </c>
      <c r="O342" s="320"/>
      <c r="P342" s="320"/>
      <c r="Q342" s="320"/>
    </row>
    <row r="343" spans="1:17" ht="15" customHeight="1">
      <c r="A343" s="327">
        <v>40704022</v>
      </c>
      <c r="B343" s="336" t="s">
        <v>450</v>
      </c>
      <c r="C343" s="259">
        <f>ROUND('[2]1.10.2022'!C343*($I343/100+1),2)</f>
        <v>3419.12</v>
      </c>
      <c r="D343" s="399"/>
      <c r="E343" s="259">
        <f>ROUND('[2]1.10.2022'!E343*($J343/100+1),2)</f>
        <v>3386.68</v>
      </c>
      <c r="F343" s="337"/>
      <c r="H343" s="259"/>
      <c r="I343" s="259">
        <f t="shared" si="19"/>
        <v>2.02</v>
      </c>
      <c r="J343" s="259">
        <f t="shared" si="19"/>
        <v>2.02</v>
      </c>
      <c r="K343" s="320"/>
      <c r="L343" s="320">
        <f>(C343-'[2]1.10.2022'!C343)/'[2]1.10.2022'!C343*100</f>
        <v>2.020039266937591</v>
      </c>
      <c r="M343" s="320"/>
      <c r="N343" s="320">
        <f>(E343-'[2]1.10.2022'!E343)/'[2]1.10.2022'!E343*100</f>
        <v>2.020110735566117</v>
      </c>
      <c r="O343" s="320"/>
      <c r="P343" s="320"/>
      <c r="Q343" s="320"/>
    </row>
    <row r="344" spans="1:17" ht="15" customHeight="1">
      <c r="A344" s="327">
        <v>40704023</v>
      </c>
      <c r="B344" s="336" t="s">
        <v>451</v>
      </c>
      <c r="C344" s="259">
        <f>ROUND('[2]1.10.2022'!C344*($I344/100+1),2)</f>
        <v>2935.55</v>
      </c>
      <c r="D344" s="399"/>
      <c r="E344" s="259">
        <f>ROUND('[2]1.10.2022'!E344*($J344/100+1),2)</f>
        <v>2907.71</v>
      </c>
      <c r="F344" s="353"/>
      <c r="H344" s="259"/>
      <c r="I344" s="259">
        <f t="shared" si="19"/>
        <v>2.02</v>
      </c>
      <c r="J344" s="259">
        <f t="shared" si="19"/>
        <v>2.02</v>
      </c>
      <c r="K344" s="320"/>
      <c r="L344" s="320">
        <f>(C344-'[2]1.10.2022'!C344)/'[2]1.10.2022'!C344*100</f>
        <v>2.0198579982832023</v>
      </c>
      <c r="M344" s="320"/>
      <c r="N344" s="320">
        <f>(E344-'[2]1.10.2022'!E344)/'[2]1.10.2022'!E344*100</f>
        <v>2.019900776803952</v>
      </c>
      <c r="O344" s="320"/>
      <c r="P344" s="320"/>
      <c r="Q344" s="320"/>
    </row>
    <row r="345" spans="1:17" ht="15" customHeight="1">
      <c r="A345" s="347"/>
      <c r="B345" s="348"/>
      <c r="C345" s="329"/>
      <c r="D345" s="329"/>
      <c r="E345" s="329"/>
      <c r="H345" s="259"/>
      <c r="I345" s="259"/>
      <c r="J345" s="259"/>
      <c r="K345" s="320"/>
      <c r="L345" s="320"/>
      <c r="M345" s="320"/>
      <c r="N345" s="320"/>
      <c r="O345" s="320"/>
      <c r="P345" s="320"/>
      <c r="Q345" s="320"/>
    </row>
    <row r="346" spans="1:17" ht="15" customHeight="1">
      <c r="A346" s="400" t="s">
        <v>628</v>
      </c>
      <c r="B346" s="348"/>
      <c r="C346" s="396" t="s">
        <v>162</v>
      </c>
      <c r="D346" s="397" t="s">
        <v>163</v>
      </c>
      <c r="H346" s="259"/>
      <c r="I346" s="259"/>
      <c r="J346" s="259"/>
      <c r="K346" s="320"/>
      <c r="L346" s="320"/>
      <c r="M346" s="320"/>
      <c r="N346" s="320"/>
      <c r="O346" s="320"/>
      <c r="P346" s="320"/>
      <c r="Q346" s="320"/>
    </row>
    <row r="347" spans="1:17" ht="15" customHeight="1">
      <c r="A347" s="401" t="s">
        <v>634</v>
      </c>
      <c r="B347" s="336" t="s">
        <v>229</v>
      </c>
      <c r="C347" s="259">
        <f>ROUND('[2]1.10.2022'!C347*($I347/100+1),2)</f>
        <v>26.74</v>
      </c>
      <c r="D347" s="259">
        <f>ROUND('[2]1.10.2022'!D347*($I347/100+1),2)</f>
        <v>30.67</v>
      </c>
      <c r="I347" s="259">
        <f>$I$1</f>
        <v>2.02</v>
      </c>
      <c r="J347" s="259"/>
      <c r="K347" s="320"/>
      <c r="L347" s="320">
        <f>(C347-'[2]1.10.2022'!C347)/'[2]1.10.2022'!C347*100</f>
        <v>2.0221289584128104</v>
      </c>
      <c r="M347" s="320">
        <f>(D347-'[2]1.10.2022'!D347)/'[2]1.10.2022'!D347*100</f>
        <v>2.029274783765812</v>
      </c>
      <c r="N347" s="320"/>
      <c r="O347" s="320"/>
      <c r="P347" s="320"/>
      <c r="Q347" s="320"/>
    </row>
    <row r="348" spans="1:17" ht="15" customHeight="1">
      <c r="A348" s="310"/>
      <c r="B348" s="310"/>
      <c r="C348" s="259"/>
      <c r="D348" s="310"/>
      <c r="E348" s="310"/>
      <c r="F348" s="310"/>
      <c r="G348" s="310"/>
      <c r="H348" s="310"/>
      <c r="I348" s="259"/>
      <c r="J348" s="259"/>
      <c r="L348" s="320"/>
      <c r="M348" s="320"/>
      <c r="N348" s="320"/>
      <c r="O348" s="320"/>
      <c r="P348" s="320"/>
      <c r="Q348" s="320"/>
    </row>
    <row r="349" spans="1:17" ht="15" customHeight="1">
      <c r="A349" s="358" t="s">
        <v>635</v>
      </c>
      <c r="B349" s="359" t="s">
        <v>636</v>
      </c>
      <c r="C349" s="259"/>
      <c r="D349" s="310"/>
      <c r="E349" s="310"/>
      <c r="F349" s="310"/>
      <c r="G349" s="310"/>
      <c r="H349" s="310"/>
      <c r="I349" s="259"/>
      <c r="J349" s="259"/>
      <c r="L349" s="320"/>
      <c r="M349" s="320"/>
      <c r="N349" s="320"/>
      <c r="O349" s="320"/>
      <c r="P349" s="320"/>
      <c r="Q349" s="320"/>
    </row>
    <row r="350" spans="1:17" ht="15" customHeight="1">
      <c r="A350" s="358" t="s">
        <v>542</v>
      </c>
      <c r="B350" s="359"/>
      <c r="C350" s="326" t="s">
        <v>524</v>
      </c>
      <c r="D350" s="310"/>
      <c r="E350" s="310"/>
      <c r="F350" s="310"/>
      <c r="G350" s="310"/>
      <c r="H350" s="310"/>
      <c r="I350" s="259"/>
      <c r="J350" s="259"/>
      <c r="L350" s="320"/>
      <c r="M350" s="320"/>
      <c r="N350" s="320"/>
      <c r="O350" s="320"/>
      <c r="P350" s="320"/>
      <c r="Q350" s="320"/>
    </row>
    <row r="351" spans="1:17" ht="15" customHeight="1">
      <c r="A351" s="327">
        <v>45000020</v>
      </c>
      <c r="B351" s="336" t="s">
        <v>462</v>
      </c>
      <c r="C351" s="259">
        <f>ROUND('[2]1.10.2022'!C351*($I351/100+1),2)</f>
        <v>3153.62</v>
      </c>
      <c r="D351" s="329"/>
      <c r="E351" s="259"/>
      <c r="G351" s="310"/>
      <c r="H351" s="310"/>
      <c r="I351" s="259">
        <f>$I$1+3.1</f>
        <v>5.12</v>
      </c>
      <c r="J351" s="259"/>
      <c r="L351" s="320">
        <f>(C351-'[2]1.10.2022'!C351)/'[2]1.10.2022'!C351*100</f>
        <v>5.119965866894217</v>
      </c>
      <c r="M351" s="320"/>
      <c r="N351" s="320"/>
      <c r="O351" s="320"/>
      <c r="P351" s="320"/>
      <c r="Q351" s="320"/>
    </row>
    <row r="352" spans="1:17" s="343" customFormat="1" ht="15" customHeight="1">
      <c r="A352" s="327">
        <v>45000030</v>
      </c>
      <c r="B352" s="336" t="s">
        <v>463</v>
      </c>
      <c r="C352" s="259">
        <f>ROUND('[2]1.10.2022'!C352*($I352/100+1),2)</f>
        <v>2935.66</v>
      </c>
      <c r="D352" s="402"/>
      <c r="E352" s="344"/>
      <c r="F352" s="342"/>
      <c r="I352" s="259">
        <f>$I$1</f>
        <v>2.02</v>
      </c>
      <c r="J352" s="259"/>
      <c r="L352" s="320">
        <f>(C352-'[2]1.10.2022'!C352)/'[2]1.10.2022'!C352*100</f>
        <v>2.020135324392783</v>
      </c>
      <c r="M352" s="320"/>
      <c r="N352" s="320"/>
      <c r="O352" s="320"/>
      <c r="P352" s="320"/>
      <c r="Q352" s="320"/>
    </row>
    <row r="353" spans="1:17" ht="15" customHeight="1">
      <c r="A353" s="327">
        <v>45001042</v>
      </c>
      <c r="B353" s="336" t="s">
        <v>637</v>
      </c>
      <c r="C353" s="259">
        <f>ROUND('[2]1.10.2022'!C353*($I353/100+1),2)</f>
        <v>2789.57</v>
      </c>
      <c r="D353" s="310"/>
      <c r="E353" s="310"/>
      <c r="F353" s="310"/>
      <c r="G353" s="310"/>
      <c r="H353" s="310"/>
      <c r="I353" s="259">
        <f>$I$1</f>
        <v>2.02</v>
      </c>
      <c r="J353" s="259"/>
      <c r="L353" s="320">
        <f>(C353-'[2]1.10.2022'!C353)/'[2]1.10.2022'!C353*100</f>
        <v>2.0198658542829353</v>
      </c>
      <c r="M353" s="320"/>
      <c r="N353" s="320"/>
      <c r="O353" s="320"/>
      <c r="P353" s="320"/>
      <c r="Q353" s="320"/>
    </row>
    <row r="354" spans="1:17" ht="15" customHeight="1">
      <c r="A354" s="327">
        <v>45000042</v>
      </c>
      <c r="B354" s="336" t="s">
        <v>638</v>
      </c>
      <c r="C354" s="259">
        <f>ROUND('[2]1.10.2022'!C354*($I354/100+1),2)</f>
        <v>2789.57</v>
      </c>
      <c r="D354" s="310"/>
      <c r="E354" s="310"/>
      <c r="F354" s="310"/>
      <c r="G354" s="310"/>
      <c r="H354" s="310"/>
      <c r="I354" s="259">
        <f>$I$1</f>
        <v>2.02</v>
      </c>
      <c r="J354" s="259"/>
      <c r="L354" s="320">
        <f>(C354-'[2]1.10.2022'!C354)/'[2]1.10.2022'!C354*100</f>
        <v>2.0198658542829353</v>
      </c>
      <c r="M354" s="320"/>
      <c r="N354" s="320"/>
      <c r="O354" s="320"/>
      <c r="P354" s="320"/>
      <c r="Q354" s="320"/>
    </row>
    <row r="355" spans="1:17" ht="15" customHeight="1">
      <c r="A355" s="327">
        <v>45001044</v>
      </c>
      <c r="B355" s="336" t="s">
        <v>639</v>
      </c>
      <c r="C355" s="259">
        <f>ROUND('[2]1.10.2022'!C355*($I355/100+1),2)</f>
        <v>2620.22</v>
      </c>
      <c r="D355" s="310"/>
      <c r="E355" s="310"/>
      <c r="F355" s="310"/>
      <c r="G355" s="310"/>
      <c r="H355" s="310"/>
      <c r="I355" s="259">
        <f>$I$1</f>
        <v>2.02</v>
      </c>
      <c r="L355" s="320">
        <f>(C355-'[2]1.10.2022'!C355)/'[2]1.10.2022'!C355*100</f>
        <v>2.019981778113476</v>
      </c>
      <c r="N355" s="320"/>
      <c r="O355" s="320"/>
      <c r="P355" s="320"/>
      <c r="Q355" s="320"/>
    </row>
    <row r="356" spans="1:12" ht="15" customHeight="1">
      <c r="A356" s="327">
        <v>45000044</v>
      </c>
      <c r="B356" s="336" t="s">
        <v>640</v>
      </c>
      <c r="C356" s="259">
        <f>ROUND('[2]1.10.2022'!C356*($I356/100+1),2)</f>
        <v>2620.22</v>
      </c>
      <c r="D356" s="310"/>
      <c r="E356" s="310"/>
      <c r="F356" s="310"/>
      <c r="G356" s="310"/>
      <c r="H356" s="310"/>
      <c r="I356" s="259">
        <f>$I$1</f>
        <v>2.02</v>
      </c>
      <c r="L356" s="320">
        <f>(C356-'[2]1.10.2022'!C356)/'[2]1.10.2022'!C356*100</f>
        <v>2.019981778113476</v>
      </c>
    </row>
    <row r="357" spans="1:12" ht="15" customHeight="1">
      <c r="A357" s="327"/>
      <c r="B357" s="403"/>
      <c r="C357" s="259"/>
      <c r="K357" s="404"/>
      <c r="L357" s="320"/>
    </row>
    <row r="358" spans="1:12" ht="15" customHeight="1">
      <c r="A358" s="358" t="s">
        <v>641</v>
      </c>
      <c r="B358" s="405"/>
      <c r="C358" s="259"/>
      <c r="D358" s="406"/>
      <c r="E358" s="310"/>
      <c r="F358" s="310"/>
      <c r="G358" s="310"/>
      <c r="H358" s="310"/>
      <c r="K358" s="404"/>
      <c r="L358" s="320"/>
    </row>
    <row r="359" spans="1:12" ht="15" customHeight="1">
      <c r="A359" s="327" t="s">
        <v>642</v>
      </c>
      <c r="B359" s="336" t="s">
        <v>643</v>
      </c>
      <c r="C359" s="259">
        <f>ROUND('[2]1.10.2022'!C359*($I359/100+1),2)</f>
        <v>2757.18</v>
      </c>
      <c r="D359" s="310"/>
      <c r="E359" s="310"/>
      <c r="F359" s="310"/>
      <c r="G359" s="310"/>
      <c r="H359" s="310"/>
      <c r="I359" s="259">
        <v>2.2</v>
      </c>
      <c r="K359" s="404" t="s">
        <v>644</v>
      </c>
      <c r="L359" s="320">
        <f>(C359-'[2]1.10.2022'!C359)/'[2]1.10.2022'!C359*100</f>
        <v>2.1999162289692054</v>
      </c>
    </row>
    <row r="360" spans="1:12" ht="15" customHeight="1">
      <c r="A360" s="327" t="s">
        <v>645</v>
      </c>
      <c r="B360" s="336" t="s">
        <v>646</v>
      </c>
      <c r="C360" s="259">
        <f>ROUND('[2]1.10.2022'!C360*($I360/100+1),2)</f>
        <v>2535.29</v>
      </c>
      <c r="D360" s="310"/>
      <c r="E360" s="310"/>
      <c r="F360" s="310"/>
      <c r="G360" s="310"/>
      <c r="H360" s="310"/>
      <c r="I360" s="259">
        <v>2.2</v>
      </c>
      <c r="K360" s="404" t="s">
        <v>644</v>
      </c>
      <c r="L360" s="320">
        <f>(C360-'[2]1.10.2022'!C360)/'[2]1.10.2022'!C360*100</f>
        <v>2.2001765623551295</v>
      </c>
    </row>
    <row r="361" spans="1:12" ht="15" customHeight="1">
      <c r="A361" s="310"/>
      <c r="B361" s="310"/>
      <c r="C361" s="310"/>
      <c r="D361" s="310"/>
      <c r="E361" s="310"/>
      <c r="F361" s="310"/>
      <c r="G361" s="310"/>
      <c r="H361" s="310"/>
      <c r="I361" s="310"/>
      <c r="L361" s="320"/>
    </row>
    <row r="362" spans="1:9" ht="15" customHeight="1">
      <c r="A362" s="310"/>
      <c r="B362" s="310"/>
      <c r="C362" s="310"/>
      <c r="D362" s="310"/>
      <c r="E362" s="310"/>
      <c r="F362" s="310"/>
      <c r="G362" s="310"/>
      <c r="H362" s="310"/>
      <c r="I362" s="310"/>
    </row>
    <row r="363" spans="1:9" ht="15" customHeight="1">
      <c r="A363" s="310"/>
      <c r="B363" s="310"/>
      <c r="C363" s="310"/>
      <c r="D363" s="310"/>
      <c r="E363" s="310"/>
      <c r="F363" s="310"/>
      <c r="G363" s="310"/>
      <c r="H363" s="310"/>
      <c r="I363" s="310"/>
    </row>
    <row r="364" spans="1:9" ht="15" customHeight="1">
      <c r="A364" s="310"/>
      <c r="B364" s="310"/>
      <c r="C364" s="310"/>
      <c r="D364" s="310"/>
      <c r="E364" s="310"/>
      <c r="F364" s="310"/>
      <c r="G364" s="310"/>
      <c r="H364" s="310"/>
      <c r="I364" s="310"/>
    </row>
    <row r="365" spans="1:9" ht="15" customHeight="1">
      <c r="A365" s="310"/>
      <c r="B365" s="310"/>
      <c r="C365" s="310"/>
      <c r="D365" s="310"/>
      <c r="E365" s="310"/>
      <c r="F365" s="310"/>
      <c r="G365" s="310"/>
      <c r="H365" s="310"/>
      <c r="I365" s="310"/>
    </row>
    <row r="366" spans="1:9" ht="15" customHeight="1">
      <c r="A366" s="310"/>
      <c r="B366" s="310"/>
      <c r="C366" s="310"/>
      <c r="D366" s="310"/>
      <c r="E366" s="310"/>
      <c r="F366" s="310"/>
      <c r="G366" s="310"/>
      <c r="H366" s="310"/>
      <c r="I366" s="310"/>
    </row>
    <row r="367" spans="1:9" ht="15" customHeight="1">
      <c r="A367" s="310"/>
      <c r="B367" s="310"/>
      <c r="C367" s="310"/>
      <c r="D367" s="310"/>
      <c r="E367" s="310"/>
      <c r="F367" s="310"/>
      <c r="G367" s="310"/>
      <c r="H367" s="310"/>
      <c r="I367" s="310"/>
    </row>
    <row r="368" spans="1:9" ht="15" customHeight="1">
      <c r="A368" s="310"/>
      <c r="B368" s="310"/>
      <c r="C368" s="310"/>
      <c r="D368" s="310"/>
      <c r="E368" s="310"/>
      <c r="F368" s="310"/>
      <c r="G368" s="310"/>
      <c r="H368" s="310"/>
      <c r="I368" s="310"/>
    </row>
    <row r="369" spans="1:9" ht="15" customHeight="1">
      <c r="A369" s="310"/>
      <c r="B369" s="310"/>
      <c r="C369" s="310"/>
      <c r="D369" s="310"/>
      <c r="E369" s="310"/>
      <c r="F369" s="310"/>
      <c r="G369" s="310"/>
      <c r="H369" s="310"/>
      <c r="I369" s="310"/>
    </row>
    <row r="370" spans="1:9" ht="15" customHeight="1">
      <c r="A370" s="310"/>
      <c r="B370" s="310"/>
      <c r="C370" s="310"/>
      <c r="D370" s="310"/>
      <c r="E370" s="310"/>
      <c r="F370" s="310"/>
      <c r="G370" s="310"/>
      <c r="H370" s="310"/>
      <c r="I370" s="310"/>
    </row>
    <row r="371" spans="1:9" ht="15" customHeight="1">
      <c r="A371" s="310"/>
      <c r="B371" s="310"/>
      <c r="C371" s="310"/>
      <c r="D371" s="310"/>
      <c r="E371" s="310"/>
      <c r="F371" s="310"/>
      <c r="G371" s="310"/>
      <c r="H371" s="310"/>
      <c r="I371" s="310"/>
    </row>
    <row r="372" spans="1:9" ht="15" customHeight="1">
      <c r="A372" s="310"/>
      <c r="B372" s="310"/>
      <c r="C372" s="310"/>
      <c r="D372" s="310"/>
      <c r="E372" s="310"/>
      <c r="F372" s="310"/>
      <c r="G372" s="310"/>
      <c r="H372" s="310"/>
      <c r="I372" s="310"/>
    </row>
    <row r="373" spans="1:9" ht="15" customHeight="1">
      <c r="A373" s="310"/>
      <c r="B373" s="310"/>
      <c r="C373" s="310"/>
      <c r="D373" s="310"/>
      <c r="E373" s="310"/>
      <c r="F373" s="310"/>
      <c r="G373" s="310"/>
      <c r="H373" s="310"/>
      <c r="I373" s="310"/>
    </row>
    <row r="374" spans="1:9" ht="15" customHeight="1">
      <c r="A374" s="308"/>
      <c r="B374" s="310"/>
      <c r="C374" s="310"/>
      <c r="D374" s="310"/>
      <c r="E374" s="310"/>
      <c r="F374" s="310"/>
      <c r="G374" s="310"/>
      <c r="H374" s="310"/>
      <c r="I374" s="310"/>
    </row>
    <row r="375" spans="1:14" ht="15" customHeight="1">
      <c r="A375" s="308"/>
      <c r="C375" s="349"/>
      <c r="D375" s="349"/>
      <c r="E375" s="349"/>
      <c r="H375" s="259"/>
      <c r="I375" s="259"/>
      <c r="K375" s="320"/>
      <c r="L375" s="320"/>
      <c r="M375" s="320"/>
      <c r="N375" s="320"/>
    </row>
    <row r="376" spans="3:14" ht="15" customHeight="1">
      <c r="C376" s="349"/>
      <c r="D376" s="349"/>
      <c r="E376" s="349"/>
      <c r="K376" s="320"/>
      <c r="L376" s="320"/>
      <c r="M376" s="320"/>
      <c r="N376" s="320"/>
    </row>
    <row r="377" spans="11:14" ht="15" customHeight="1">
      <c r="K377" s="320"/>
      <c r="L377" s="320"/>
      <c r="M377" s="320"/>
      <c r="N377" s="320"/>
    </row>
    <row r="378" spans="11:14" ht="15" customHeight="1">
      <c r="K378" s="320"/>
      <c r="L378" s="320"/>
      <c r="M378" s="320"/>
      <c r="N378" s="320"/>
    </row>
    <row r="379" spans="11:14" ht="15" customHeight="1">
      <c r="K379" s="320"/>
      <c r="L379" s="320"/>
      <c r="M379" s="320"/>
      <c r="N379" s="320"/>
    </row>
    <row r="380" spans="11:14" ht="15" customHeight="1">
      <c r="K380" s="320"/>
      <c r="L380" s="320"/>
      <c r="M380" s="320"/>
      <c r="N380" s="320"/>
    </row>
    <row r="381" spans="11:14" ht="15" customHeight="1">
      <c r="K381" s="320"/>
      <c r="L381" s="320"/>
      <c r="M381" s="320"/>
      <c r="N381" s="320"/>
    </row>
    <row r="382" spans="1:14" ht="15" customHeight="1">
      <c r="A382" s="239"/>
      <c r="K382" s="320"/>
      <c r="L382" s="320"/>
      <c r="M382" s="320"/>
      <c r="N382" s="320"/>
    </row>
    <row r="383" spans="1:14" ht="15" customHeight="1">
      <c r="A383" s="239"/>
      <c r="B383" s="239"/>
      <c r="C383" s="310"/>
      <c r="D383" s="310"/>
      <c r="E383" s="310"/>
      <c r="F383" s="310"/>
      <c r="K383" s="320"/>
      <c r="L383" s="320"/>
      <c r="M383" s="320"/>
      <c r="N383" s="320"/>
    </row>
    <row r="384" spans="1:14" ht="15" customHeight="1">
      <c r="A384" s="239"/>
      <c r="B384" s="239"/>
      <c r="C384" s="310"/>
      <c r="D384" s="310"/>
      <c r="E384" s="310"/>
      <c r="F384" s="310"/>
      <c r="K384" s="320"/>
      <c r="L384" s="320"/>
      <c r="M384" s="320"/>
      <c r="N384" s="320"/>
    </row>
    <row r="385" spans="1:14" ht="15" customHeight="1">
      <c r="A385" s="239"/>
      <c r="B385" s="239"/>
      <c r="C385" s="310"/>
      <c r="D385" s="310"/>
      <c r="E385" s="310"/>
      <c r="F385" s="310"/>
      <c r="G385" s="310"/>
      <c r="H385" s="310"/>
      <c r="I385" s="310"/>
      <c r="K385" s="320"/>
      <c r="L385" s="320"/>
      <c r="M385" s="320"/>
      <c r="N385" s="320"/>
    </row>
    <row r="386" spans="1:14" ht="15" customHeight="1">
      <c r="A386" s="239"/>
      <c r="B386" s="239"/>
      <c r="C386" s="310"/>
      <c r="D386" s="310"/>
      <c r="E386" s="310"/>
      <c r="F386" s="310"/>
      <c r="G386" s="310"/>
      <c r="H386" s="310"/>
      <c r="I386" s="310"/>
      <c r="K386" s="320"/>
      <c r="L386" s="320"/>
      <c r="M386" s="320"/>
      <c r="N386" s="320"/>
    </row>
    <row r="387" spans="1:14" ht="15" customHeight="1">
      <c r="A387" s="239"/>
      <c r="B387" s="239"/>
      <c r="C387" s="310"/>
      <c r="D387" s="310"/>
      <c r="E387" s="310"/>
      <c r="F387" s="310"/>
      <c r="G387" s="310"/>
      <c r="H387" s="310"/>
      <c r="I387" s="310"/>
      <c r="K387" s="320"/>
      <c r="L387" s="320"/>
      <c r="M387" s="320"/>
      <c r="N387" s="320"/>
    </row>
    <row r="388" spans="1:14" ht="15" customHeight="1">
      <c r="A388" s="239"/>
      <c r="B388" s="239"/>
      <c r="C388" s="310"/>
      <c r="D388" s="310"/>
      <c r="E388" s="310"/>
      <c r="F388" s="310"/>
      <c r="G388" s="310"/>
      <c r="H388" s="310"/>
      <c r="I388" s="310"/>
      <c r="K388" s="320"/>
      <c r="L388" s="320"/>
      <c r="M388" s="320"/>
      <c r="N388" s="320"/>
    </row>
    <row r="389" spans="1:14" ht="15" customHeight="1">
      <c r="A389" s="239"/>
      <c r="B389" s="239"/>
      <c r="C389" s="310"/>
      <c r="D389" s="310"/>
      <c r="E389" s="310"/>
      <c r="F389" s="310"/>
      <c r="G389" s="310"/>
      <c r="H389" s="310"/>
      <c r="I389" s="310"/>
      <c r="K389" s="320"/>
      <c r="L389" s="320"/>
      <c r="M389" s="320"/>
      <c r="N389" s="320"/>
    </row>
    <row r="390" spans="1:14" ht="15" customHeight="1">
      <c r="A390" s="239"/>
      <c r="B390" s="239"/>
      <c r="C390" s="310"/>
      <c r="D390" s="310"/>
      <c r="E390" s="310"/>
      <c r="F390" s="310"/>
      <c r="G390" s="310"/>
      <c r="H390" s="310"/>
      <c r="I390" s="310"/>
      <c r="K390" s="320"/>
      <c r="L390" s="320"/>
      <c r="M390" s="320"/>
      <c r="N390" s="320"/>
    </row>
    <row r="391" spans="1:14" ht="15" customHeight="1">
      <c r="A391" s="239"/>
      <c r="B391" s="239"/>
      <c r="C391" s="310"/>
      <c r="D391" s="310"/>
      <c r="E391" s="310"/>
      <c r="F391" s="310"/>
      <c r="G391" s="310"/>
      <c r="H391" s="310"/>
      <c r="I391" s="310"/>
      <c r="K391" s="320"/>
      <c r="L391" s="320"/>
      <c r="M391" s="320"/>
      <c r="N391" s="320"/>
    </row>
    <row r="392" spans="1:14" ht="15" customHeight="1">
      <c r="A392" s="239"/>
      <c r="B392" s="239"/>
      <c r="C392" s="310"/>
      <c r="D392" s="310"/>
      <c r="E392" s="310"/>
      <c r="F392" s="310"/>
      <c r="G392" s="310"/>
      <c r="H392" s="310"/>
      <c r="I392" s="310"/>
      <c r="K392" s="320"/>
      <c r="L392" s="320"/>
      <c r="M392" s="320"/>
      <c r="N392" s="320"/>
    </row>
    <row r="393" spans="1:14" ht="15" customHeight="1">
      <c r="A393" s="239"/>
      <c r="B393" s="239"/>
      <c r="C393" s="310"/>
      <c r="D393" s="310"/>
      <c r="E393" s="310"/>
      <c r="F393" s="310"/>
      <c r="G393" s="310"/>
      <c r="H393" s="310"/>
      <c r="I393" s="310"/>
      <c r="K393" s="320"/>
      <c r="L393" s="320"/>
      <c r="M393" s="320"/>
      <c r="N393" s="320"/>
    </row>
    <row r="394" spans="1:14" ht="15" customHeight="1">
      <c r="A394" s="239"/>
      <c r="B394" s="239"/>
      <c r="C394" s="310"/>
      <c r="D394" s="310"/>
      <c r="E394" s="310"/>
      <c r="F394" s="310"/>
      <c r="G394" s="310"/>
      <c r="H394" s="310"/>
      <c r="I394" s="310"/>
      <c r="K394" s="320"/>
      <c r="L394" s="320"/>
      <c r="M394" s="320"/>
      <c r="N394" s="320"/>
    </row>
    <row r="395" spans="1:14" ht="15" customHeight="1">
      <c r="A395" s="239"/>
      <c r="B395" s="239"/>
      <c r="C395" s="310"/>
      <c r="D395" s="310"/>
      <c r="E395" s="310"/>
      <c r="F395" s="310"/>
      <c r="G395" s="310"/>
      <c r="H395" s="310"/>
      <c r="I395" s="310"/>
      <c r="K395" s="320"/>
      <c r="L395" s="320"/>
      <c r="M395" s="320"/>
      <c r="N395" s="320"/>
    </row>
    <row r="396" spans="1:14" ht="15" customHeight="1">
      <c r="A396" s="239"/>
      <c r="B396" s="239"/>
      <c r="C396" s="310"/>
      <c r="D396" s="310"/>
      <c r="E396" s="310"/>
      <c r="F396" s="310"/>
      <c r="G396" s="310"/>
      <c r="H396" s="310"/>
      <c r="I396" s="310"/>
      <c r="K396" s="320"/>
      <c r="L396" s="320"/>
      <c r="M396" s="320"/>
      <c r="N396" s="320"/>
    </row>
    <row r="397" spans="1:14" ht="15" customHeight="1">
      <c r="A397" s="239"/>
      <c r="B397" s="239"/>
      <c r="C397" s="310"/>
      <c r="D397" s="310"/>
      <c r="E397" s="310"/>
      <c r="F397" s="310"/>
      <c r="G397" s="310"/>
      <c r="H397" s="310"/>
      <c r="I397" s="310"/>
      <c r="K397" s="320"/>
      <c r="L397" s="320"/>
      <c r="M397" s="320"/>
      <c r="N397" s="320"/>
    </row>
    <row r="398" spans="1:14" ht="15" customHeight="1">
      <c r="A398" s="239"/>
      <c r="B398" s="239"/>
      <c r="C398" s="310"/>
      <c r="D398" s="310"/>
      <c r="E398" s="310"/>
      <c r="F398" s="310"/>
      <c r="G398" s="310"/>
      <c r="H398" s="310"/>
      <c r="I398" s="310"/>
      <c r="K398" s="320"/>
      <c r="L398" s="320"/>
      <c r="M398" s="320"/>
      <c r="N398" s="320"/>
    </row>
    <row r="399" spans="1:14" ht="15" customHeight="1">
      <c r="A399" s="239"/>
      <c r="B399" s="239"/>
      <c r="C399" s="310"/>
      <c r="D399" s="310"/>
      <c r="E399" s="310"/>
      <c r="F399" s="310"/>
      <c r="G399" s="310"/>
      <c r="H399" s="310"/>
      <c r="I399" s="310"/>
      <c r="K399" s="320"/>
      <c r="L399" s="320"/>
      <c r="M399" s="320"/>
      <c r="N399" s="320"/>
    </row>
    <row r="400" spans="1:14" ht="15" customHeight="1">
      <c r="A400" s="239"/>
      <c r="B400" s="239"/>
      <c r="C400" s="310"/>
      <c r="D400" s="310"/>
      <c r="E400" s="310"/>
      <c r="F400" s="310"/>
      <c r="G400" s="310"/>
      <c r="H400" s="310"/>
      <c r="I400" s="310"/>
      <c r="K400" s="320"/>
      <c r="L400" s="320"/>
      <c r="M400" s="320"/>
      <c r="N400" s="320"/>
    </row>
    <row r="401" spans="1:14" ht="15" customHeight="1">
      <c r="A401" s="239"/>
      <c r="B401" s="239"/>
      <c r="C401" s="310"/>
      <c r="D401" s="310"/>
      <c r="E401" s="310"/>
      <c r="F401" s="310"/>
      <c r="G401" s="310"/>
      <c r="H401" s="310"/>
      <c r="I401" s="310"/>
      <c r="K401" s="320"/>
      <c r="L401" s="320"/>
      <c r="M401" s="320"/>
      <c r="N401" s="320"/>
    </row>
    <row r="402" spans="1:14" ht="15" customHeight="1">
      <c r="A402" s="239"/>
      <c r="B402" s="239"/>
      <c r="C402" s="310"/>
      <c r="D402" s="310"/>
      <c r="E402" s="310"/>
      <c r="F402" s="310"/>
      <c r="G402" s="310"/>
      <c r="H402" s="310"/>
      <c r="I402" s="310"/>
      <c r="K402" s="320"/>
      <c r="L402" s="320"/>
      <c r="M402" s="320"/>
      <c r="N402" s="320"/>
    </row>
    <row r="403" spans="1:14" ht="15" customHeight="1">
      <c r="A403" s="239"/>
      <c r="B403" s="239"/>
      <c r="C403" s="310"/>
      <c r="D403" s="310"/>
      <c r="E403" s="310"/>
      <c r="F403" s="310"/>
      <c r="G403" s="310"/>
      <c r="H403" s="310"/>
      <c r="I403" s="310"/>
      <c r="K403" s="320"/>
      <c r="L403" s="320"/>
      <c r="M403" s="320"/>
      <c r="N403" s="320"/>
    </row>
    <row r="404" spans="1:14" ht="15" customHeight="1">
      <c r="A404" s="239"/>
      <c r="B404" s="239"/>
      <c r="C404" s="310"/>
      <c r="D404" s="310"/>
      <c r="E404" s="310"/>
      <c r="F404" s="310"/>
      <c r="G404" s="310"/>
      <c r="H404" s="310"/>
      <c r="I404" s="310"/>
      <c r="K404" s="320"/>
      <c r="L404" s="320"/>
      <c r="M404" s="320"/>
      <c r="N404" s="320"/>
    </row>
    <row r="405" spans="1:14" ht="15" customHeight="1">
      <c r="A405" s="239"/>
      <c r="B405" s="239"/>
      <c r="C405" s="310"/>
      <c r="D405" s="310"/>
      <c r="E405" s="310"/>
      <c r="F405" s="310"/>
      <c r="G405" s="310"/>
      <c r="H405" s="310"/>
      <c r="I405" s="310"/>
      <c r="K405" s="320"/>
      <c r="L405" s="320"/>
      <c r="M405" s="320"/>
      <c r="N405" s="320"/>
    </row>
    <row r="406" spans="1:14" ht="15" customHeight="1">
      <c r="A406" s="239"/>
      <c r="B406" s="239"/>
      <c r="C406" s="310"/>
      <c r="D406" s="310"/>
      <c r="E406" s="310"/>
      <c r="F406" s="310"/>
      <c r="G406" s="310"/>
      <c r="H406" s="310"/>
      <c r="I406" s="310"/>
      <c r="K406" s="320"/>
      <c r="L406" s="320"/>
      <c r="M406" s="320"/>
      <c r="N406" s="320"/>
    </row>
    <row r="407" spans="1:14" ht="15" customHeight="1">
      <c r="A407" s="239"/>
      <c r="B407" s="239"/>
      <c r="C407" s="310"/>
      <c r="D407" s="310"/>
      <c r="E407" s="310"/>
      <c r="F407" s="310"/>
      <c r="G407" s="310"/>
      <c r="H407" s="310"/>
      <c r="I407" s="310"/>
      <c r="K407" s="320"/>
      <c r="L407" s="320"/>
      <c r="M407" s="320"/>
      <c r="N407" s="320"/>
    </row>
    <row r="408" spans="1:14" ht="15" customHeight="1">
      <c r="A408" s="239"/>
      <c r="B408" s="239"/>
      <c r="C408" s="310"/>
      <c r="D408" s="310"/>
      <c r="E408" s="310"/>
      <c r="F408" s="310"/>
      <c r="G408" s="310"/>
      <c r="H408" s="310"/>
      <c r="I408" s="310"/>
      <c r="K408" s="320"/>
      <c r="L408" s="320"/>
      <c r="M408" s="320"/>
      <c r="N408" s="320"/>
    </row>
    <row r="409" spans="1:14" ht="15" customHeight="1">
      <c r="A409" s="239"/>
      <c r="B409" s="239"/>
      <c r="C409" s="310"/>
      <c r="D409" s="310"/>
      <c r="E409" s="310"/>
      <c r="F409" s="310"/>
      <c r="G409" s="310"/>
      <c r="H409" s="310"/>
      <c r="I409" s="310"/>
      <c r="K409" s="320"/>
      <c r="L409" s="320"/>
      <c r="M409" s="320"/>
      <c r="N409" s="320"/>
    </row>
    <row r="410" spans="1:14" ht="15" customHeight="1">
      <c r="A410" s="239"/>
      <c r="B410" s="239"/>
      <c r="C410" s="310"/>
      <c r="D410" s="310"/>
      <c r="E410" s="310"/>
      <c r="F410" s="310"/>
      <c r="G410" s="310"/>
      <c r="H410" s="310"/>
      <c r="I410" s="310"/>
      <c r="K410" s="320"/>
      <c r="L410" s="320"/>
      <c r="M410" s="320"/>
      <c r="N410" s="320"/>
    </row>
    <row r="411" spans="1:14" ht="15" customHeight="1">
      <c r="A411" s="239"/>
      <c r="B411" s="239"/>
      <c r="C411" s="310"/>
      <c r="D411" s="310"/>
      <c r="E411" s="310"/>
      <c r="F411" s="310"/>
      <c r="G411" s="310"/>
      <c r="H411" s="310"/>
      <c r="I411" s="310"/>
      <c r="K411" s="320"/>
      <c r="L411" s="320"/>
      <c r="M411" s="320"/>
      <c r="N411" s="320"/>
    </row>
    <row r="412" spans="1:14" ht="15" customHeight="1">
      <c r="A412" s="239"/>
      <c r="B412" s="239"/>
      <c r="C412" s="310"/>
      <c r="D412" s="310"/>
      <c r="E412" s="310"/>
      <c r="F412" s="310"/>
      <c r="G412" s="310"/>
      <c r="H412" s="310"/>
      <c r="I412" s="310"/>
      <c r="K412" s="320"/>
      <c r="L412" s="320"/>
      <c r="M412" s="320"/>
      <c r="N412" s="320"/>
    </row>
    <row r="413" spans="1:14" ht="15" customHeight="1">
      <c r="A413" s="239"/>
      <c r="B413" s="239"/>
      <c r="C413" s="310"/>
      <c r="D413" s="310"/>
      <c r="E413" s="310"/>
      <c r="F413" s="310"/>
      <c r="G413" s="310"/>
      <c r="H413" s="310"/>
      <c r="I413" s="310"/>
      <c r="K413" s="320"/>
      <c r="L413" s="320"/>
      <c r="M413" s="320"/>
      <c r="N413" s="320"/>
    </row>
    <row r="414" spans="1:14" ht="15" customHeight="1">
      <c r="A414" s="239"/>
      <c r="B414" s="239"/>
      <c r="C414" s="310"/>
      <c r="D414" s="310"/>
      <c r="E414" s="310"/>
      <c r="F414" s="310"/>
      <c r="G414" s="310"/>
      <c r="H414" s="310"/>
      <c r="I414" s="310"/>
      <c r="K414" s="320"/>
      <c r="L414" s="320"/>
      <c r="M414" s="320"/>
      <c r="N414" s="320"/>
    </row>
    <row r="415" spans="1:14" ht="15" customHeight="1">
      <c r="A415" s="239"/>
      <c r="B415" s="239"/>
      <c r="C415" s="310"/>
      <c r="D415" s="310"/>
      <c r="E415" s="310"/>
      <c r="F415" s="310"/>
      <c r="G415" s="310"/>
      <c r="H415" s="310"/>
      <c r="I415" s="310"/>
      <c r="K415" s="320"/>
      <c r="L415" s="320"/>
      <c r="M415" s="320"/>
      <c r="N415" s="320"/>
    </row>
    <row r="416" spans="1:14" ht="15" customHeight="1">
      <c r="A416" s="239"/>
      <c r="B416" s="239"/>
      <c r="C416" s="310"/>
      <c r="D416" s="310"/>
      <c r="E416" s="310"/>
      <c r="F416" s="310"/>
      <c r="G416" s="310"/>
      <c r="H416" s="310"/>
      <c r="I416" s="310"/>
      <c r="K416" s="320"/>
      <c r="L416" s="320"/>
      <c r="M416" s="320"/>
      <c r="N416" s="320"/>
    </row>
    <row r="417" spans="1:14" ht="15" customHeight="1">
      <c r="A417" s="239"/>
      <c r="B417" s="239"/>
      <c r="C417" s="310"/>
      <c r="D417" s="310"/>
      <c r="E417" s="310"/>
      <c r="F417" s="310"/>
      <c r="G417" s="310"/>
      <c r="H417" s="310"/>
      <c r="I417" s="310"/>
      <c r="K417" s="320"/>
      <c r="L417" s="320"/>
      <c r="M417" s="320"/>
      <c r="N417" s="320"/>
    </row>
    <row r="418" spans="1:14" ht="15" customHeight="1">
      <c r="A418" s="239"/>
      <c r="B418" s="239"/>
      <c r="C418" s="310"/>
      <c r="D418" s="310"/>
      <c r="E418" s="310"/>
      <c r="F418" s="310"/>
      <c r="G418" s="310"/>
      <c r="H418" s="310"/>
      <c r="I418" s="310"/>
      <c r="K418" s="320"/>
      <c r="L418" s="320"/>
      <c r="M418" s="320"/>
      <c r="N418" s="320"/>
    </row>
    <row r="419" spans="1:14" ht="15" customHeight="1">
      <c r="A419" s="239"/>
      <c r="B419" s="239"/>
      <c r="C419" s="310"/>
      <c r="D419" s="310"/>
      <c r="E419" s="310"/>
      <c r="F419" s="310"/>
      <c r="G419" s="310"/>
      <c r="H419" s="310"/>
      <c r="I419" s="310"/>
      <c r="K419" s="320"/>
      <c r="L419" s="320"/>
      <c r="M419" s="320"/>
      <c r="N419" s="320"/>
    </row>
    <row r="420" spans="1:14" ht="15" customHeight="1">
      <c r="A420" s="239"/>
      <c r="B420" s="239"/>
      <c r="C420" s="310"/>
      <c r="D420" s="310"/>
      <c r="E420" s="310"/>
      <c r="F420" s="310"/>
      <c r="G420" s="310"/>
      <c r="H420" s="310"/>
      <c r="I420" s="310"/>
      <c r="K420" s="320"/>
      <c r="L420" s="320"/>
      <c r="M420" s="320"/>
      <c r="N420" s="320"/>
    </row>
    <row r="421" spans="1:14" ht="15" customHeight="1">
      <c r="A421" s="239"/>
      <c r="B421" s="239"/>
      <c r="C421" s="310"/>
      <c r="D421" s="310"/>
      <c r="E421" s="310"/>
      <c r="F421" s="310"/>
      <c r="G421" s="310"/>
      <c r="H421" s="310"/>
      <c r="I421" s="310"/>
      <c r="K421" s="320"/>
      <c r="L421" s="320"/>
      <c r="M421" s="320"/>
      <c r="N421" s="320"/>
    </row>
    <row r="422" spans="2:14" ht="15" customHeight="1">
      <c r="B422" s="239"/>
      <c r="C422" s="310"/>
      <c r="D422" s="310"/>
      <c r="E422" s="310"/>
      <c r="F422" s="310"/>
      <c r="G422" s="310"/>
      <c r="H422" s="310"/>
      <c r="I422" s="310"/>
      <c r="K422" s="320"/>
      <c r="L422" s="320"/>
      <c r="M422" s="320"/>
      <c r="N422" s="320"/>
    </row>
    <row r="423" spans="3:14" ht="15" customHeight="1">
      <c r="C423" s="310"/>
      <c r="D423" s="310"/>
      <c r="E423" s="310"/>
      <c r="F423" s="310"/>
      <c r="G423" s="310"/>
      <c r="H423" s="310"/>
      <c r="I423" s="310"/>
      <c r="K423" s="320"/>
      <c r="L423" s="320"/>
      <c r="M423" s="320"/>
      <c r="N423" s="320"/>
    </row>
    <row r="424" spans="3:14" ht="15" customHeight="1">
      <c r="C424" s="310"/>
      <c r="D424" s="310"/>
      <c r="E424" s="310"/>
      <c r="F424" s="310"/>
      <c r="G424" s="310"/>
      <c r="H424" s="310"/>
      <c r="I424" s="310"/>
      <c r="K424" s="320"/>
      <c r="L424" s="320"/>
      <c r="M424" s="320"/>
      <c r="N424" s="320"/>
    </row>
    <row r="425" spans="3:14" ht="15" customHeight="1">
      <c r="C425" s="310"/>
      <c r="D425" s="310"/>
      <c r="E425" s="310"/>
      <c r="F425" s="310"/>
      <c r="G425" s="310"/>
      <c r="H425" s="310"/>
      <c r="I425" s="310"/>
      <c r="K425" s="320"/>
      <c r="L425" s="320"/>
      <c r="M425" s="320"/>
      <c r="N425" s="320"/>
    </row>
    <row r="426" spans="3:14" ht="15" customHeight="1">
      <c r="C426" s="310"/>
      <c r="D426" s="310"/>
      <c r="E426" s="310"/>
      <c r="F426" s="310"/>
      <c r="G426" s="310"/>
      <c r="H426" s="310"/>
      <c r="I426" s="310"/>
      <c r="K426" s="320"/>
      <c r="L426" s="320"/>
      <c r="M426" s="320"/>
      <c r="N426" s="320"/>
    </row>
    <row r="427" spans="3:14" ht="15" customHeight="1">
      <c r="C427" s="310"/>
      <c r="D427" s="310"/>
      <c r="E427" s="310"/>
      <c r="F427" s="310"/>
      <c r="G427" s="310"/>
      <c r="H427" s="310"/>
      <c r="I427" s="310"/>
      <c r="K427" s="320"/>
      <c r="L427" s="320"/>
      <c r="M427" s="320"/>
      <c r="N427" s="320"/>
    </row>
    <row r="428" spans="3:14" ht="15" customHeight="1">
      <c r="C428" s="310"/>
      <c r="D428" s="310"/>
      <c r="E428" s="310"/>
      <c r="F428" s="310"/>
      <c r="G428" s="310"/>
      <c r="H428" s="310"/>
      <c r="I428" s="310"/>
      <c r="K428" s="320"/>
      <c r="L428" s="320"/>
      <c r="M428" s="320"/>
      <c r="N428" s="320"/>
    </row>
    <row r="429" spans="3:14" ht="15" customHeight="1">
      <c r="C429" s="310"/>
      <c r="D429" s="310"/>
      <c r="E429" s="310"/>
      <c r="F429" s="310"/>
      <c r="G429" s="310"/>
      <c r="H429" s="310"/>
      <c r="I429" s="310"/>
      <c r="K429" s="320"/>
      <c r="L429" s="320"/>
      <c r="M429" s="320"/>
      <c r="N429" s="320"/>
    </row>
    <row r="430" spans="1:14" ht="15" customHeight="1">
      <c r="A430" s="310"/>
      <c r="C430" s="310"/>
      <c r="D430" s="310"/>
      <c r="E430" s="310"/>
      <c r="F430" s="310"/>
      <c r="G430" s="310"/>
      <c r="H430" s="310"/>
      <c r="I430" s="310"/>
      <c r="K430" s="320"/>
      <c r="L430" s="320"/>
      <c r="M430" s="320"/>
      <c r="N430" s="320"/>
    </row>
    <row r="431" spans="1:14" ht="15" customHeight="1">
      <c r="A431" s="310"/>
      <c r="B431" s="310"/>
      <c r="C431" s="310"/>
      <c r="D431" s="310"/>
      <c r="E431" s="310"/>
      <c r="F431" s="310"/>
      <c r="G431" s="310"/>
      <c r="H431" s="310"/>
      <c r="I431" s="310"/>
      <c r="K431" s="320"/>
      <c r="L431" s="320"/>
      <c r="M431" s="320"/>
      <c r="N431" s="320"/>
    </row>
    <row r="432" spans="1:14" ht="15" customHeight="1">
      <c r="A432" s="310"/>
      <c r="B432" s="310"/>
      <c r="C432" s="310"/>
      <c r="D432" s="310"/>
      <c r="E432" s="310"/>
      <c r="F432" s="310"/>
      <c r="G432" s="310"/>
      <c r="H432" s="310"/>
      <c r="I432" s="310"/>
      <c r="K432" s="320"/>
      <c r="L432" s="320"/>
      <c r="M432" s="320"/>
      <c r="N432" s="320"/>
    </row>
    <row r="433" spans="1:14" ht="15" customHeight="1">
      <c r="A433" s="310"/>
      <c r="B433" s="310"/>
      <c r="C433" s="310"/>
      <c r="D433" s="310"/>
      <c r="E433" s="310"/>
      <c r="F433" s="310"/>
      <c r="G433" s="310"/>
      <c r="H433" s="310"/>
      <c r="I433" s="310"/>
      <c r="K433" s="320"/>
      <c r="L433" s="320"/>
      <c r="M433" s="320"/>
      <c r="N433" s="320"/>
    </row>
    <row r="434" spans="1:14" ht="15" customHeight="1">
      <c r="A434" s="310"/>
      <c r="B434" s="310"/>
      <c r="C434" s="310"/>
      <c r="D434" s="310"/>
      <c r="E434" s="310"/>
      <c r="F434" s="310"/>
      <c r="G434" s="310"/>
      <c r="H434" s="310"/>
      <c r="I434" s="310"/>
      <c r="K434" s="320"/>
      <c r="L434" s="320"/>
      <c r="M434" s="320"/>
      <c r="N434" s="320"/>
    </row>
    <row r="435" spans="2:14" ht="15" customHeight="1">
      <c r="B435" s="310"/>
      <c r="C435" s="310"/>
      <c r="D435" s="310"/>
      <c r="E435" s="310"/>
      <c r="F435" s="310"/>
      <c r="G435" s="310"/>
      <c r="H435" s="310"/>
      <c r="I435" s="310"/>
      <c r="K435" s="320"/>
      <c r="L435" s="320"/>
      <c r="M435" s="320"/>
      <c r="N435" s="320"/>
    </row>
    <row r="436" spans="1:14" ht="15" customHeight="1">
      <c r="A436" s="310"/>
      <c r="G436" s="310"/>
      <c r="H436" s="310"/>
      <c r="I436" s="310"/>
      <c r="K436" s="320"/>
      <c r="L436" s="320"/>
      <c r="M436" s="320"/>
      <c r="N436" s="320"/>
    </row>
    <row r="437" spans="1:14" ht="15" customHeight="1">
      <c r="A437" s="310"/>
      <c r="B437" s="310"/>
      <c r="C437" s="310"/>
      <c r="D437" s="310"/>
      <c r="E437" s="310"/>
      <c r="F437" s="310"/>
      <c r="G437" s="310"/>
      <c r="H437" s="310"/>
      <c r="I437" s="310"/>
      <c r="K437" s="320"/>
      <c r="L437" s="320"/>
      <c r="M437" s="320"/>
      <c r="N437" s="320"/>
    </row>
    <row r="438" spans="1:14" ht="15" customHeight="1">
      <c r="A438" s="310"/>
      <c r="B438" s="310"/>
      <c r="C438" s="310"/>
      <c r="D438" s="310"/>
      <c r="E438" s="310"/>
      <c r="F438" s="310"/>
      <c r="K438" s="320"/>
      <c r="L438" s="320"/>
      <c r="M438" s="320"/>
      <c r="N438" s="320"/>
    </row>
    <row r="439" spans="1:14" ht="15" customHeight="1">
      <c r="A439" s="310"/>
      <c r="B439" s="310"/>
      <c r="C439" s="310"/>
      <c r="D439" s="310"/>
      <c r="E439" s="310"/>
      <c r="F439" s="310"/>
      <c r="G439" s="310"/>
      <c r="H439" s="310"/>
      <c r="I439" s="310"/>
      <c r="K439" s="320"/>
      <c r="L439" s="320"/>
      <c r="M439" s="320"/>
      <c r="N439" s="320"/>
    </row>
    <row r="440" spans="1:14" ht="15" customHeight="1">
      <c r="A440" s="310"/>
      <c r="B440" s="310"/>
      <c r="C440" s="310"/>
      <c r="D440" s="310"/>
      <c r="E440" s="310"/>
      <c r="F440" s="310"/>
      <c r="G440" s="310"/>
      <c r="H440" s="310"/>
      <c r="I440" s="310"/>
      <c r="K440" s="320"/>
      <c r="L440" s="320"/>
      <c r="M440" s="320"/>
      <c r="N440" s="320"/>
    </row>
    <row r="441" spans="1:14" ht="15" customHeight="1">
      <c r="A441" s="310"/>
      <c r="B441" s="310"/>
      <c r="C441" s="310"/>
      <c r="D441" s="310"/>
      <c r="E441" s="310"/>
      <c r="F441" s="310"/>
      <c r="G441" s="310"/>
      <c r="H441" s="310"/>
      <c r="I441" s="310"/>
      <c r="K441" s="320"/>
      <c r="L441" s="320"/>
      <c r="M441" s="320"/>
      <c r="N441" s="320"/>
    </row>
    <row r="442" spans="1:14" ht="15" customHeight="1">
      <c r="A442" s="310"/>
      <c r="B442" s="310"/>
      <c r="C442" s="310"/>
      <c r="D442" s="310"/>
      <c r="E442" s="310"/>
      <c r="F442" s="310"/>
      <c r="G442" s="310"/>
      <c r="H442" s="310"/>
      <c r="I442" s="310"/>
      <c r="K442" s="320"/>
      <c r="L442" s="320"/>
      <c r="M442" s="320"/>
      <c r="N442" s="320"/>
    </row>
    <row r="443" spans="1:14" ht="15" customHeight="1">
      <c r="A443" s="310"/>
      <c r="B443" s="310"/>
      <c r="C443" s="310"/>
      <c r="D443" s="310"/>
      <c r="E443" s="310"/>
      <c r="F443" s="310"/>
      <c r="G443" s="310"/>
      <c r="H443" s="310"/>
      <c r="I443" s="310"/>
      <c r="K443" s="320"/>
      <c r="L443" s="320"/>
      <c r="M443" s="320"/>
      <c r="N443" s="320"/>
    </row>
    <row r="444" spans="1:14" ht="15" customHeight="1">
      <c r="A444" s="310"/>
      <c r="B444" s="310"/>
      <c r="C444" s="310"/>
      <c r="D444" s="310"/>
      <c r="E444" s="310"/>
      <c r="F444" s="310"/>
      <c r="G444" s="310"/>
      <c r="H444" s="310"/>
      <c r="I444" s="310"/>
      <c r="K444" s="320"/>
      <c r="L444" s="320"/>
      <c r="M444" s="320"/>
      <c r="N444" s="320"/>
    </row>
    <row r="445" spans="1:14" ht="15" customHeight="1">
      <c r="A445" s="310"/>
      <c r="B445" s="310"/>
      <c r="C445" s="310"/>
      <c r="D445" s="310"/>
      <c r="E445" s="310"/>
      <c r="F445" s="310"/>
      <c r="G445" s="310"/>
      <c r="H445" s="310"/>
      <c r="I445" s="310"/>
      <c r="K445" s="320"/>
      <c r="L445" s="320"/>
      <c r="M445" s="320"/>
      <c r="N445" s="320"/>
    </row>
    <row r="446" spans="1:14" ht="15" customHeight="1">
      <c r="A446" s="310"/>
      <c r="B446" s="310"/>
      <c r="C446" s="310"/>
      <c r="D446" s="310"/>
      <c r="E446" s="310"/>
      <c r="F446" s="310"/>
      <c r="G446" s="310"/>
      <c r="H446" s="310"/>
      <c r="I446" s="310"/>
      <c r="K446" s="320"/>
      <c r="L446" s="320"/>
      <c r="M446" s="320"/>
      <c r="N446" s="320"/>
    </row>
    <row r="447" spans="1:14" ht="15" customHeight="1">
      <c r="A447" s="310"/>
      <c r="B447" s="310"/>
      <c r="C447" s="310"/>
      <c r="D447" s="310"/>
      <c r="E447" s="310"/>
      <c r="F447" s="310"/>
      <c r="G447" s="310"/>
      <c r="H447" s="310"/>
      <c r="I447" s="310"/>
      <c r="K447" s="320"/>
      <c r="L447" s="320"/>
      <c r="M447" s="320"/>
      <c r="N447" s="320"/>
    </row>
    <row r="448" spans="1:14" ht="15" customHeight="1">
      <c r="A448" s="310"/>
      <c r="B448" s="310"/>
      <c r="C448" s="310"/>
      <c r="D448" s="310"/>
      <c r="E448" s="310"/>
      <c r="F448" s="310"/>
      <c r="G448" s="310"/>
      <c r="H448" s="310"/>
      <c r="I448" s="310"/>
      <c r="K448" s="320"/>
      <c r="L448" s="320"/>
      <c r="M448" s="320"/>
      <c r="N448" s="320"/>
    </row>
    <row r="449" spans="1:14" ht="15" customHeight="1">
      <c r="A449" s="310"/>
      <c r="B449" s="310"/>
      <c r="C449" s="310"/>
      <c r="D449" s="310"/>
      <c r="E449" s="310"/>
      <c r="F449" s="310"/>
      <c r="G449" s="310"/>
      <c r="H449" s="310"/>
      <c r="I449" s="310"/>
      <c r="K449" s="320"/>
      <c r="L449" s="320"/>
      <c r="M449" s="320"/>
      <c r="N449" s="320"/>
    </row>
    <row r="450" spans="1:14" ht="15" customHeight="1">
      <c r="A450" s="310"/>
      <c r="B450" s="310"/>
      <c r="C450" s="310"/>
      <c r="D450" s="310"/>
      <c r="E450" s="310"/>
      <c r="F450" s="310"/>
      <c r="G450" s="310"/>
      <c r="H450" s="310"/>
      <c r="I450" s="310"/>
      <c r="K450" s="320"/>
      <c r="L450" s="320"/>
      <c r="M450" s="320"/>
      <c r="N450" s="320"/>
    </row>
    <row r="451" spans="1:14" ht="15" customHeight="1">
      <c r="A451" s="310"/>
      <c r="B451" s="310"/>
      <c r="C451" s="310"/>
      <c r="D451" s="310"/>
      <c r="E451" s="310"/>
      <c r="F451" s="310"/>
      <c r="G451" s="310"/>
      <c r="H451" s="310"/>
      <c r="I451" s="310"/>
      <c r="K451" s="320"/>
      <c r="L451" s="320"/>
      <c r="M451" s="320"/>
      <c r="N451" s="320"/>
    </row>
    <row r="452" spans="1:14" ht="15" customHeight="1">
      <c r="A452" s="310"/>
      <c r="B452" s="310"/>
      <c r="C452" s="310"/>
      <c r="D452" s="310"/>
      <c r="E452" s="310"/>
      <c r="F452" s="310"/>
      <c r="G452" s="310"/>
      <c r="H452" s="310"/>
      <c r="I452" s="310"/>
      <c r="K452" s="320"/>
      <c r="L452" s="320"/>
      <c r="M452" s="320"/>
      <c r="N452" s="320"/>
    </row>
    <row r="453" spans="1:14" ht="15" customHeight="1">
      <c r="A453" s="310"/>
      <c r="B453" s="310"/>
      <c r="C453" s="310"/>
      <c r="D453" s="310"/>
      <c r="E453" s="310"/>
      <c r="F453" s="310"/>
      <c r="G453" s="310"/>
      <c r="H453" s="310"/>
      <c r="I453" s="310"/>
      <c r="K453" s="320"/>
      <c r="L453" s="320"/>
      <c r="M453" s="320"/>
      <c r="N453" s="320"/>
    </row>
    <row r="454" spans="1:14" ht="15" customHeight="1">
      <c r="A454" s="310"/>
      <c r="B454" s="310"/>
      <c r="C454" s="310"/>
      <c r="D454" s="310"/>
      <c r="E454" s="310"/>
      <c r="F454" s="310"/>
      <c r="G454" s="310"/>
      <c r="H454" s="310"/>
      <c r="I454" s="310"/>
      <c r="K454" s="320"/>
      <c r="L454" s="320"/>
      <c r="M454" s="320"/>
      <c r="N454" s="320"/>
    </row>
    <row r="455" spans="1:14" ht="15" customHeight="1">
      <c r="A455" s="310"/>
      <c r="B455" s="310"/>
      <c r="C455" s="310"/>
      <c r="D455" s="310"/>
      <c r="E455" s="310"/>
      <c r="F455" s="310"/>
      <c r="G455" s="310"/>
      <c r="H455" s="310"/>
      <c r="I455" s="310"/>
      <c r="K455" s="320"/>
      <c r="L455" s="320"/>
      <c r="M455" s="320"/>
      <c r="N455" s="320"/>
    </row>
    <row r="456" spans="1:14" ht="15" customHeight="1">
      <c r="A456" s="310"/>
      <c r="B456" s="310"/>
      <c r="C456" s="310"/>
      <c r="D456" s="310"/>
      <c r="E456" s="310"/>
      <c r="F456" s="310"/>
      <c r="G456" s="310"/>
      <c r="H456" s="310"/>
      <c r="I456" s="310"/>
      <c r="K456" s="320"/>
      <c r="L456" s="320"/>
      <c r="M456" s="320"/>
      <c r="N456" s="320"/>
    </row>
    <row r="457" spans="1:14" ht="15" customHeight="1">
      <c r="A457" s="310"/>
      <c r="B457" s="310"/>
      <c r="C457" s="310"/>
      <c r="D457" s="310"/>
      <c r="E457" s="310"/>
      <c r="F457" s="310"/>
      <c r="G457" s="310"/>
      <c r="H457" s="310"/>
      <c r="I457" s="310"/>
      <c r="K457" s="320"/>
      <c r="L457" s="320"/>
      <c r="M457" s="320"/>
      <c r="N457" s="320"/>
    </row>
    <row r="458" spans="1:14" ht="15" customHeight="1">
      <c r="A458" s="310"/>
      <c r="B458" s="310"/>
      <c r="C458" s="310"/>
      <c r="D458" s="310"/>
      <c r="E458" s="310"/>
      <c r="F458" s="310"/>
      <c r="G458" s="310"/>
      <c r="H458" s="310"/>
      <c r="I458" s="310"/>
      <c r="K458" s="320"/>
      <c r="L458" s="320"/>
      <c r="M458" s="320"/>
      <c r="N458" s="320"/>
    </row>
    <row r="459" spans="1:14" ht="15" customHeight="1">
      <c r="A459" s="310"/>
      <c r="B459" s="310"/>
      <c r="C459" s="310"/>
      <c r="D459" s="310"/>
      <c r="E459" s="310"/>
      <c r="F459" s="310"/>
      <c r="G459" s="310"/>
      <c r="H459" s="310"/>
      <c r="I459" s="310"/>
      <c r="K459" s="320"/>
      <c r="L459" s="320"/>
      <c r="M459" s="320"/>
      <c r="N459" s="320"/>
    </row>
    <row r="460" spans="1:14" ht="15" customHeight="1">
      <c r="A460" s="310"/>
      <c r="B460" s="310"/>
      <c r="C460" s="310"/>
      <c r="D460" s="310"/>
      <c r="E460" s="310"/>
      <c r="F460" s="310"/>
      <c r="G460" s="310"/>
      <c r="H460" s="310"/>
      <c r="I460" s="310"/>
      <c r="K460" s="320"/>
      <c r="L460" s="320"/>
      <c r="M460" s="320"/>
      <c r="N460" s="320"/>
    </row>
    <row r="461" spans="1:14" ht="15" customHeight="1">
      <c r="A461" s="310"/>
      <c r="B461" s="310"/>
      <c r="C461" s="310"/>
      <c r="D461" s="310"/>
      <c r="E461" s="310"/>
      <c r="F461" s="310"/>
      <c r="G461" s="310"/>
      <c r="H461" s="310"/>
      <c r="I461" s="310"/>
      <c r="K461" s="320"/>
      <c r="L461" s="320"/>
      <c r="M461" s="320"/>
      <c r="N461" s="320"/>
    </row>
    <row r="462" spans="1:14" ht="15" customHeight="1">
      <c r="A462" s="310"/>
      <c r="B462" s="310"/>
      <c r="C462" s="310"/>
      <c r="D462" s="310"/>
      <c r="E462" s="310"/>
      <c r="F462" s="310"/>
      <c r="G462" s="310"/>
      <c r="H462" s="310"/>
      <c r="I462" s="310"/>
      <c r="K462" s="320"/>
      <c r="L462" s="320"/>
      <c r="M462" s="320"/>
      <c r="N462" s="320"/>
    </row>
    <row r="463" spans="1:14" ht="15" customHeight="1">
      <c r="A463" s="310"/>
      <c r="B463" s="310"/>
      <c r="C463" s="310"/>
      <c r="D463" s="310"/>
      <c r="E463" s="310"/>
      <c r="F463" s="310"/>
      <c r="G463" s="310"/>
      <c r="H463" s="310"/>
      <c r="I463" s="310"/>
      <c r="K463" s="320"/>
      <c r="L463" s="320"/>
      <c r="M463" s="320"/>
      <c r="N463" s="320"/>
    </row>
    <row r="464" spans="1:14" ht="15" customHeight="1">
      <c r="A464" s="310"/>
      <c r="B464" s="310"/>
      <c r="C464" s="310"/>
      <c r="D464" s="310"/>
      <c r="E464" s="310"/>
      <c r="F464" s="310"/>
      <c r="G464" s="310"/>
      <c r="H464" s="310"/>
      <c r="I464" s="310"/>
      <c r="K464" s="320"/>
      <c r="L464" s="320"/>
      <c r="M464" s="320"/>
      <c r="N464" s="320"/>
    </row>
    <row r="465" spans="1:14" ht="15" customHeight="1">
      <c r="A465" s="310"/>
      <c r="B465" s="310"/>
      <c r="C465" s="310"/>
      <c r="D465" s="310"/>
      <c r="E465" s="310"/>
      <c r="F465" s="310"/>
      <c r="G465" s="310"/>
      <c r="H465" s="310"/>
      <c r="I465" s="310"/>
      <c r="K465" s="320"/>
      <c r="L465" s="320"/>
      <c r="M465" s="320"/>
      <c r="N465" s="320"/>
    </row>
    <row r="466" spans="1:14" ht="15" customHeight="1">
      <c r="A466" s="310"/>
      <c r="B466" s="310"/>
      <c r="C466" s="310"/>
      <c r="D466" s="310"/>
      <c r="E466" s="310"/>
      <c r="F466" s="310"/>
      <c r="G466" s="310"/>
      <c r="H466" s="310"/>
      <c r="I466" s="310"/>
      <c r="K466" s="320"/>
      <c r="L466" s="320"/>
      <c r="M466" s="320"/>
      <c r="N466" s="320"/>
    </row>
    <row r="467" spans="1:14" ht="15" customHeight="1">
      <c r="A467" s="310"/>
      <c r="B467" s="310"/>
      <c r="C467" s="310"/>
      <c r="D467" s="310"/>
      <c r="E467" s="310"/>
      <c r="F467" s="310"/>
      <c r="G467" s="310"/>
      <c r="H467" s="310"/>
      <c r="I467" s="310"/>
      <c r="K467" s="320"/>
      <c r="L467" s="320"/>
      <c r="M467" s="320"/>
      <c r="N467" s="320"/>
    </row>
    <row r="468" spans="1:14" ht="15" customHeight="1">
      <c r="A468" s="310"/>
      <c r="B468" s="310"/>
      <c r="C468" s="310"/>
      <c r="D468" s="310"/>
      <c r="E468" s="310"/>
      <c r="F468" s="310"/>
      <c r="G468" s="310"/>
      <c r="H468" s="310"/>
      <c r="I468" s="310"/>
      <c r="K468" s="320"/>
      <c r="L468" s="320"/>
      <c r="M468" s="320"/>
      <c r="N468" s="320"/>
    </row>
    <row r="469" spans="1:14" ht="15" customHeight="1">
      <c r="A469" s="310"/>
      <c r="B469" s="310"/>
      <c r="C469" s="310"/>
      <c r="D469" s="310"/>
      <c r="E469" s="310"/>
      <c r="F469" s="310"/>
      <c r="G469" s="310"/>
      <c r="H469" s="310"/>
      <c r="I469" s="310"/>
      <c r="K469" s="320"/>
      <c r="L469" s="320"/>
      <c r="M469" s="320"/>
      <c r="N469" s="320"/>
    </row>
    <row r="470" spans="1:14" ht="15" customHeight="1">
      <c r="A470" s="310"/>
      <c r="B470" s="310"/>
      <c r="C470" s="310"/>
      <c r="D470" s="310"/>
      <c r="E470" s="310"/>
      <c r="F470" s="310"/>
      <c r="G470" s="310"/>
      <c r="H470" s="310"/>
      <c r="I470" s="310"/>
      <c r="K470" s="320"/>
      <c r="L470" s="320"/>
      <c r="M470" s="320"/>
      <c r="N470" s="320"/>
    </row>
    <row r="471" spans="1:14" ht="15" customHeight="1">
      <c r="A471" s="310"/>
      <c r="B471" s="310"/>
      <c r="C471" s="310"/>
      <c r="D471" s="310"/>
      <c r="E471" s="310"/>
      <c r="F471" s="310"/>
      <c r="G471" s="310"/>
      <c r="H471" s="310"/>
      <c r="I471" s="310"/>
      <c r="K471" s="320"/>
      <c r="L471" s="320"/>
      <c r="M471" s="320"/>
      <c r="N471" s="320"/>
    </row>
    <row r="472" spans="1:14" ht="15" customHeight="1">
      <c r="A472" s="310"/>
      <c r="B472" s="310"/>
      <c r="C472" s="310"/>
      <c r="D472" s="310"/>
      <c r="E472" s="310"/>
      <c r="F472" s="310"/>
      <c r="G472" s="310"/>
      <c r="H472" s="310"/>
      <c r="I472" s="310"/>
      <c r="K472" s="320"/>
      <c r="L472" s="320"/>
      <c r="M472" s="320"/>
      <c r="N472" s="320"/>
    </row>
    <row r="473" spans="1:14" ht="15" customHeight="1">
      <c r="A473" s="310"/>
      <c r="B473" s="310"/>
      <c r="C473" s="310"/>
      <c r="D473" s="310"/>
      <c r="E473" s="310"/>
      <c r="F473" s="310"/>
      <c r="G473" s="310"/>
      <c r="H473" s="310"/>
      <c r="I473" s="310"/>
      <c r="K473" s="320"/>
      <c r="L473" s="320"/>
      <c r="M473" s="320"/>
      <c r="N473" s="320"/>
    </row>
    <row r="474" spans="1:14" ht="15" customHeight="1">
      <c r="A474" s="310"/>
      <c r="B474" s="310"/>
      <c r="C474" s="310"/>
      <c r="D474" s="310"/>
      <c r="E474" s="310"/>
      <c r="F474" s="310"/>
      <c r="G474" s="310"/>
      <c r="H474" s="310"/>
      <c r="I474" s="310"/>
      <c r="K474" s="320"/>
      <c r="L474" s="320"/>
      <c r="M474" s="320"/>
      <c r="N474" s="320"/>
    </row>
    <row r="475" spans="1:14" ht="15" customHeight="1">
      <c r="A475" s="310"/>
      <c r="B475" s="310"/>
      <c r="C475" s="310"/>
      <c r="D475" s="310"/>
      <c r="E475" s="310"/>
      <c r="F475" s="310"/>
      <c r="G475" s="310"/>
      <c r="H475" s="310"/>
      <c r="I475" s="310"/>
      <c r="K475" s="320"/>
      <c r="L475" s="320"/>
      <c r="M475" s="320"/>
      <c r="N475" s="320"/>
    </row>
    <row r="476" spans="1:14" ht="15" customHeight="1">
      <c r="A476" s="310"/>
      <c r="B476" s="310"/>
      <c r="C476" s="310"/>
      <c r="D476" s="310"/>
      <c r="E476" s="310"/>
      <c r="F476" s="310"/>
      <c r="G476" s="310"/>
      <c r="H476" s="310"/>
      <c r="I476" s="310"/>
      <c r="K476" s="320"/>
      <c r="L476" s="320"/>
      <c r="M476" s="320"/>
      <c r="N476" s="320"/>
    </row>
    <row r="477" spans="1:14" ht="15" customHeight="1">
      <c r="A477" s="310"/>
      <c r="B477" s="310"/>
      <c r="C477" s="310"/>
      <c r="D477" s="310"/>
      <c r="E477" s="310"/>
      <c r="F477" s="310"/>
      <c r="G477" s="310"/>
      <c r="H477" s="310"/>
      <c r="I477" s="310"/>
      <c r="K477" s="320"/>
      <c r="L477" s="320"/>
      <c r="M477" s="320"/>
      <c r="N477" s="320"/>
    </row>
    <row r="478" spans="1:14" ht="15" customHeight="1">
      <c r="A478" s="310"/>
      <c r="B478" s="310"/>
      <c r="C478" s="310"/>
      <c r="D478" s="310"/>
      <c r="E478" s="310"/>
      <c r="F478" s="310"/>
      <c r="G478" s="310"/>
      <c r="H478" s="310"/>
      <c r="I478" s="310"/>
      <c r="K478" s="320"/>
      <c r="L478" s="320"/>
      <c r="M478" s="320"/>
      <c r="N478" s="320"/>
    </row>
    <row r="479" spans="1:14" ht="15" customHeight="1">
      <c r="A479" s="310"/>
      <c r="B479" s="310"/>
      <c r="C479" s="310"/>
      <c r="D479" s="310"/>
      <c r="E479" s="310"/>
      <c r="F479" s="310"/>
      <c r="G479" s="310"/>
      <c r="H479" s="310"/>
      <c r="I479" s="310"/>
      <c r="K479" s="320"/>
      <c r="L479" s="320"/>
      <c r="M479" s="320"/>
      <c r="N479" s="320"/>
    </row>
    <row r="480" spans="1:14" ht="15" customHeight="1">
      <c r="A480" s="310"/>
      <c r="B480" s="310"/>
      <c r="C480" s="310"/>
      <c r="D480" s="310"/>
      <c r="E480" s="310"/>
      <c r="F480" s="310"/>
      <c r="G480" s="310"/>
      <c r="H480" s="310"/>
      <c r="I480" s="310"/>
      <c r="K480" s="320"/>
      <c r="L480" s="320"/>
      <c r="M480" s="320"/>
      <c r="N480" s="320"/>
    </row>
    <row r="481" spans="1:14" ht="15" customHeight="1">
      <c r="A481" s="310"/>
      <c r="B481" s="310"/>
      <c r="C481" s="310"/>
      <c r="D481" s="310"/>
      <c r="E481" s="310"/>
      <c r="F481" s="310"/>
      <c r="G481" s="310"/>
      <c r="H481" s="310"/>
      <c r="I481" s="310"/>
      <c r="K481" s="320"/>
      <c r="L481" s="320"/>
      <c r="M481" s="320"/>
      <c r="N481" s="320"/>
    </row>
    <row r="482" spans="1:14" ht="15" customHeight="1">
      <c r="A482" s="310"/>
      <c r="B482" s="310"/>
      <c r="C482" s="310"/>
      <c r="D482" s="310"/>
      <c r="E482" s="310"/>
      <c r="F482" s="310"/>
      <c r="G482" s="310"/>
      <c r="H482" s="310"/>
      <c r="I482" s="310"/>
      <c r="K482" s="320"/>
      <c r="L482" s="320"/>
      <c r="M482" s="320"/>
      <c r="N482" s="320"/>
    </row>
    <row r="483" spans="1:14" ht="15" customHeight="1">
      <c r="A483" s="310"/>
      <c r="B483" s="310"/>
      <c r="C483" s="310"/>
      <c r="D483" s="310"/>
      <c r="E483" s="310"/>
      <c r="F483" s="310"/>
      <c r="G483" s="310"/>
      <c r="H483" s="310"/>
      <c r="I483" s="310"/>
      <c r="K483" s="320"/>
      <c r="L483" s="320"/>
      <c r="M483" s="320"/>
      <c r="N483" s="320"/>
    </row>
    <row r="484" spans="1:14" ht="15" customHeight="1">
      <c r="A484" s="310"/>
      <c r="B484" s="310"/>
      <c r="C484" s="310"/>
      <c r="D484" s="310"/>
      <c r="E484" s="310"/>
      <c r="F484" s="310"/>
      <c r="G484" s="310"/>
      <c r="H484" s="310"/>
      <c r="I484" s="310"/>
      <c r="K484" s="320"/>
      <c r="L484" s="320"/>
      <c r="M484" s="320"/>
      <c r="N484" s="320"/>
    </row>
    <row r="485" spans="1:14" ht="15" customHeight="1">
      <c r="A485" s="310"/>
      <c r="B485" s="310"/>
      <c r="C485" s="310"/>
      <c r="D485" s="310"/>
      <c r="E485" s="310"/>
      <c r="F485" s="310"/>
      <c r="G485" s="310"/>
      <c r="H485" s="310"/>
      <c r="I485" s="310"/>
      <c r="K485" s="320"/>
      <c r="L485" s="320"/>
      <c r="M485" s="320"/>
      <c r="N485" s="320"/>
    </row>
    <row r="486" spans="1:14" ht="15" customHeight="1">
      <c r="A486" s="310"/>
      <c r="B486" s="310"/>
      <c r="C486" s="310"/>
      <c r="D486" s="310"/>
      <c r="E486" s="310"/>
      <c r="F486" s="310"/>
      <c r="G486" s="310"/>
      <c r="H486" s="310"/>
      <c r="I486" s="310"/>
      <c r="K486" s="320"/>
      <c r="L486" s="320"/>
      <c r="M486" s="320"/>
      <c r="N486" s="320"/>
    </row>
    <row r="487" spans="1:14" ht="15" customHeight="1">
      <c r="A487" s="310"/>
      <c r="B487" s="310"/>
      <c r="C487" s="310"/>
      <c r="D487" s="310"/>
      <c r="E487" s="310"/>
      <c r="F487" s="310"/>
      <c r="G487" s="310"/>
      <c r="H487" s="310"/>
      <c r="I487" s="310"/>
      <c r="K487" s="320"/>
      <c r="L487" s="320"/>
      <c r="M487" s="320"/>
      <c r="N487" s="320"/>
    </row>
    <row r="488" spans="1:14" ht="15" customHeight="1">
      <c r="A488" s="310"/>
      <c r="B488" s="310"/>
      <c r="C488" s="310"/>
      <c r="D488" s="310"/>
      <c r="E488" s="310"/>
      <c r="F488" s="310"/>
      <c r="G488" s="310"/>
      <c r="H488" s="310"/>
      <c r="I488" s="310"/>
      <c r="K488" s="320"/>
      <c r="L488" s="320"/>
      <c r="M488" s="320"/>
      <c r="N488" s="320"/>
    </row>
    <row r="489" spans="1:14" ht="15" customHeight="1">
      <c r="A489" s="310"/>
      <c r="B489" s="310"/>
      <c r="C489" s="310"/>
      <c r="D489" s="310"/>
      <c r="E489" s="310"/>
      <c r="F489" s="310"/>
      <c r="G489" s="310"/>
      <c r="H489" s="310"/>
      <c r="I489" s="310"/>
      <c r="K489" s="320"/>
      <c r="L489" s="320"/>
      <c r="M489" s="320"/>
      <c r="N489" s="320"/>
    </row>
    <row r="490" spans="1:14" ht="15" customHeight="1">
      <c r="A490" s="310"/>
      <c r="B490" s="310"/>
      <c r="C490" s="310"/>
      <c r="D490" s="310"/>
      <c r="E490" s="310"/>
      <c r="F490" s="310"/>
      <c r="G490" s="310"/>
      <c r="H490" s="310"/>
      <c r="I490" s="310"/>
      <c r="K490" s="320"/>
      <c r="L490" s="320"/>
      <c r="M490" s="320"/>
      <c r="N490" s="320"/>
    </row>
    <row r="491" spans="1:14" ht="15" customHeight="1">
      <c r="A491" s="310"/>
      <c r="B491" s="310"/>
      <c r="C491" s="310"/>
      <c r="D491" s="310"/>
      <c r="E491" s="310"/>
      <c r="F491" s="310"/>
      <c r="G491" s="310"/>
      <c r="H491" s="310"/>
      <c r="I491" s="310"/>
      <c r="K491" s="320"/>
      <c r="L491" s="320"/>
      <c r="M491" s="320"/>
      <c r="N491" s="320"/>
    </row>
    <row r="492" spans="1:14" ht="15" customHeight="1">
      <c r="A492" s="310"/>
      <c r="B492" s="310"/>
      <c r="C492" s="310"/>
      <c r="D492" s="310"/>
      <c r="E492" s="310"/>
      <c r="F492" s="310"/>
      <c r="G492" s="310"/>
      <c r="H492" s="310"/>
      <c r="I492" s="310"/>
      <c r="K492" s="320"/>
      <c r="L492" s="320"/>
      <c r="M492" s="320"/>
      <c r="N492" s="320"/>
    </row>
    <row r="493" spans="1:14" ht="15" customHeight="1">
      <c r="A493" s="310"/>
      <c r="B493" s="310"/>
      <c r="C493" s="310"/>
      <c r="D493" s="310"/>
      <c r="E493" s="310"/>
      <c r="F493" s="310"/>
      <c r="G493" s="310"/>
      <c r="H493" s="310"/>
      <c r="I493" s="310"/>
      <c r="K493" s="320"/>
      <c r="L493" s="320"/>
      <c r="M493" s="320"/>
      <c r="N493" s="320"/>
    </row>
    <row r="494" spans="1:14" ht="15" customHeight="1">
      <c r="A494" s="310"/>
      <c r="B494" s="310"/>
      <c r="C494" s="310"/>
      <c r="D494" s="310"/>
      <c r="E494" s="310"/>
      <c r="F494" s="310"/>
      <c r="G494" s="310"/>
      <c r="H494" s="310"/>
      <c r="I494" s="310"/>
      <c r="K494" s="320"/>
      <c r="L494" s="320"/>
      <c r="M494" s="320"/>
      <c r="N494" s="320"/>
    </row>
    <row r="495" spans="1:14" ht="15" customHeight="1">
      <c r="A495" s="310"/>
      <c r="B495" s="310"/>
      <c r="C495" s="310"/>
      <c r="D495" s="310"/>
      <c r="E495" s="310"/>
      <c r="F495" s="310"/>
      <c r="G495" s="310"/>
      <c r="H495" s="310"/>
      <c r="I495" s="310"/>
      <c r="K495" s="320"/>
      <c r="L495" s="320"/>
      <c r="M495" s="320"/>
      <c r="N495" s="320"/>
    </row>
    <row r="496" spans="1:14" ht="15" customHeight="1">
      <c r="A496" s="310"/>
      <c r="B496" s="310"/>
      <c r="C496" s="310"/>
      <c r="D496" s="310"/>
      <c r="E496" s="310"/>
      <c r="F496" s="310"/>
      <c r="G496" s="310"/>
      <c r="H496" s="310"/>
      <c r="I496" s="310"/>
      <c r="K496" s="320"/>
      <c r="L496" s="320"/>
      <c r="M496" s="320"/>
      <c r="N496" s="320"/>
    </row>
    <row r="497" spans="1:14" ht="15" customHeight="1">
      <c r="A497" s="310"/>
      <c r="B497" s="310"/>
      <c r="C497" s="310"/>
      <c r="D497" s="310"/>
      <c r="E497" s="310"/>
      <c r="F497" s="310"/>
      <c r="G497" s="310"/>
      <c r="H497" s="310"/>
      <c r="I497" s="310"/>
      <c r="K497" s="320"/>
      <c r="L497" s="320"/>
      <c r="M497" s="320"/>
      <c r="N497" s="320"/>
    </row>
    <row r="498" spans="1:14" ht="15" customHeight="1">
      <c r="A498" s="310"/>
      <c r="B498" s="310"/>
      <c r="C498" s="310"/>
      <c r="D498" s="310"/>
      <c r="E498" s="310"/>
      <c r="F498" s="310"/>
      <c r="G498" s="310"/>
      <c r="H498" s="310"/>
      <c r="I498" s="310"/>
      <c r="K498" s="320"/>
      <c r="L498" s="320"/>
      <c r="M498" s="320"/>
      <c r="N498" s="320"/>
    </row>
    <row r="499" spans="1:14" ht="15" customHeight="1">
      <c r="A499" s="310"/>
      <c r="B499" s="310"/>
      <c r="C499" s="310"/>
      <c r="D499" s="310"/>
      <c r="E499" s="310"/>
      <c r="F499" s="310"/>
      <c r="G499" s="310"/>
      <c r="H499" s="310"/>
      <c r="I499" s="310"/>
      <c r="K499" s="320"/>
      <c r="L499" s="320"/>
      <c r="M499" s="320"/>
      <c r="N499" s="320"/>
    </row>
    <row r="500" spans="1:14" ht="15" customHeight="1">
      <c r="A500" s="310"/>
      <c r="B500" s="310"/>
      <c r="C500" s="310"/>
      <c r="D500" s="310"/>
      <c r="E500" s="310"/>
      <c r="F500" s="310"/>
      <c r="G500" s="310"/>
      <c r="H500" s="310"/>
      <c r="I500" s="310"/>
      <c r="K500" s="320"/>
      <c r="L500" s="320"/>
      <c r="M500" s="320"/>
      <c r="N500" s="320"/>
    </row>
    <row r="501" spans="1:14" ht="15" customHeight="1">
      <c r="A501" s="310"/>
      <c r="B501" s="310"/>
      <c r="C501" s="310"/>
      <c r="D501" s="310"/>
      <c r="E501" s="310"/>
      <c r="F501" s="310"/>
      <c r="G501" s="310"/>
      <c r="H501" s="310"/>
      <c r="I501" s="310"/>
      <c r="K501" s="320"/>
      <c r="L501" s="320"/>
      <c r="M501" s="320"/>
      <c r="N501" s="320"/>
    </row>
    <row r="502" spans="1:14" ht="15" customHeight="1">
      <c r="A502" s="310"/>
      <c r="B502" s="310"/>
      <c r="C502" s="310"/>
      <c r="D502" s="310"/>
      <c r="E502" s="310"/>
      <c r="F502" s="310"/>
      <c r="G502" s="310"/>
      <c r="H502" s="310"/>
      <c r="I502" s="310"/>
      <c r="K502" s="320"/>
      <c r="L502" s="320"/>
      <c r="M502" s="320"/>
      <c r="N502" s="320"/>
    </row>
    <row r="503" spans="1:14" ht="15" customHeight="1">
      <c r="A503" s="310"/>
      <c r="B503" s="310"/>
      <c r="C503" s="310"/>
      <c r="D503" s="310"/>
      <c r="E503" s="310"/>
      <c r="F503" s="310"/>
      <c r="G503" s="310"/>
      <c r="H503" s="310"/>
      <c r="I503" s="310"/>
      <c r="K503" s="320"/>
      <c r="L503" s="320"/>
      <c r="M503" s="320"/>
      <c r="N503" s="320"/>
    </row>
    <row r="504" spans="1:14" ht="15" customHeight="1">
      <c r="A504" s="310"/>
      <c r="B504" s="310"/>
      <c r="C504" s="310"/>
      <c r="D504" s="310"/>
      <c r="E504" s="310"/>
      <c r="F504" s="310"/>
      <c r="G504" s="310"/>
      <c r="H504" s="310"/>
      <c r="I504" s="310"/>
      <c r="K504" s="320"/>
      <c r="L504" s="320"/>
      <c r="M504" s="320"/>
      <c r="N504" s="320"/>
    </row>
    <row r="505" spans="1:14" ht="15" customHeight="1">
      <c r="A505" s="310"/>
      <c r="B505" s="310"/>
      <c r="C505" s="310"/>
      <c r="D505" s="310"/>
      <c r="E505" s="310"/>
      <c r="F505" s="310"/>
      <c r="G505" s="310"/>
      <c r="H505" s="310"/>
      <c r="I505" s="310"/>
      <c r="K505" s="320"/>
      <c r="L505" s="320"/>
      <c r="M505" s="320"/>
      <c r="N505" s="320"/>
    </row>
    <row r="506" spans="1:14" ht="15" customHeight="1">
      <c r="A506" s="310"/>
      <c r="B506" s="310"/>
      <c r="C506" s="310"/>
      <c r="D506" s="310"/>
      <c r="E506" s="310"/>
      <c r="F506" s="310"/>
      <c r="G506" s="310"/>
      <c r="H506" s="310"/>
      <c r="I506" s="310"/>
      <c r="K506" s="320"/>
      <c r="L506" s="320"/>
      <c r="M506" s="320"/>
      <c r="N506" s="320"/>
    </row>
    <row r="507" spans="1:14" ht="15" customHeight="1">
      <c r="A507" s="310"/>
      <c r="B507" s="310"/>
      <c r="C507" s="310"/>
      <c r="D507" s="310"/>
      <c r="E507" s="310"/>
      <c r="F507" s="310"/>
      <c r="G507" s="310"/>
      <c r="H507" s="310"/>
      <c r="I507" s="310"/>
      <c r="K507" s="320"/>
      <c r="L507" s="320"/>
      <c r="M507" s="320"/>
      <c r="N507" s="320"/>
    </row>
    <row r="508" spans="1:14" ht="15" customHeight="1">
      <c r="A508" s="310"/>
      <c r="B508" s="310"/>
      <c r="C508" s="310"/>
      <c r="D508" s="310"/>
      <c r="E508" s="310"/>
      <c r="F508" s="310"/>
      <c r="G508" s="310"/>
      <c r="H508" s="310"/>
      <c r="I508" s="310"/>
      <c r="K508" s="320"/>
      <c r="L508" s="320"/>
      <c r="M508" s="320"/>
      <c r="N508" s="320"/>
    </row>
    <row r="509" spans="1:14" ht="15" customHeight="1">
      <c r="A509" s="310"/>
      <c r="B509" s="310"/>
      <c r="C509" s="310"/>
      <c r="D509" s="310"/>
      <c r="E509" s="310"/>
      <c r="F509" s="310"/>
      <c r="G509" s="310"/>
      <c r="H509" s="310"/>
      <c r="I509" s="310"/>
      <c r="K509" s="320"/>
      <c r="L509" s="320"/>
      <c r="M509" s="320"/>
      <c r="N509" s="320"/>
    </row>
    <row r="510" spans="1:14" ht="15" customHeight="1">
      <c r="A510" s="310"/>
      <c r="B510" s="310"/>
      <c r="C510" s="310"/>
      <c r="D510" s="310"/>
      <c r="E510" s="310"/>
      <c r="F510" s="310"/>
      <c r="G510" s="310"/>
      <c r="H510" s="310"/>
      <c r="I510" s="310"/>
      <c r="K510" s="320"/>
      <c r="L510" s="320"/>
      <c r="M510" s="320"/>
      <c r="N510" s="320"/>
    </row>
    <row r="511" spans="1:14" ht="15" customHeight="1">
      <c r="A511" s="310"/>
      <c r="B511" s="310"/>
      <c r="C511" s="310"/>
      <c r="D511" s="310"/>
      <c r="E511" s="310"/>
      <c r="F511" s="310"/>
      <c r="G511" s="310"/>
      <c r="H511" s="310"/>
      <c r="I511" s="310"/>
      <c r="K511" s="406"/>
      <c r="L511" s="406"/>
      <c r="M511" s="406"/>
      <c r="N511" s="406"/>
    </row>
    <row r="512" spans="1:14" ht="15" customHeight="1">
      <c r="A512" s="310"/>
      <c r="B512" s="310"/>
      <c r="C512" s="310"/>
      <c r="D512" s="310"/>
      <c r="E512" s="310"/>
      <c r="F512" s="310"/>
      <c r="G512" s="310"/>
      <c r="H512" s="310"/>
      <c r="I512" s="310"/>
      <c r="K512" s="406"/>
      <c r="L512" s="406"/>
      <c r="M512" s="406"/>
      <c r="N512" s="406"/>
    </row>
    <row r="513" spans="1:14" ht="15" customHeight="1">
      <c r="A513" s="310"/>
      <c r="B513" s="310"/>
      <c r="C513" s="310"/>
      <c r="D513" s="310"/>
      <c r="E513" s="310"/>
      <c r="F513" s="310"/>
      <c r="G513" s="310"/>
      <c r="H513" s="310"/>
      <c r="I513" s="310"/>
      <c r="K513" s="406"/>
      <c r="L513" s="406"/>
      <c r="M513" s="406"/>
      <c r="N513" s="406"/>
    </row>
    <row r="514" spans="1:14" ht="15" customHeight="1">
      <c r="A514" s="310"/>
      <c r="B514" s="310"/>
      <c r="C514" s="310"/>
      <c r="D514" s="310"/>
      <c r="E514" s="310"/>
      <c r="F514" s="310"/>
      <c r="G514" s="310"/>
      <c r="H514" s="310"/>
      <c r="I514" s="310"/>
      <c r="K514" s="406"/>
      <c r="L514" s="406"/>
      <c r="M514" s="406"/>
      <c r="N514" s="406"/>
    </row>
    <row r="515" spans="1:14" ht="15" customHeight="1">
      <c r="A515" s="310"/>
      <c r="B515" s="310"/>
      <c r="C515" s="310"/>
      <c r="D515" s="310"/>
      <c r="E515" s="310"/>
      <c r="F515" s="310"/>
      <c r="G515" s="310"/>
      <c r="H515" s="310"/>
      <c r="I515" s="310"/>
      <c r="K515" s="406"/>
      <c r="L515" s="406"/>
      <c r="M515" s="406"/>
      <c r="N515" s="406"/>
    </row>
    <row r="516" spans="1:14" ht="15" customHeight="1">
      <c r="A516" s="310"/>
      <c r="B516" s="310"/>
      <c r="C516" s="310"/>
      <c r="D516" s="310"/>
      <c r="E516" s="310"/>
      <c r="F516" s="310"/>
      <c r="G516" s="310"/>
      <c r="H516" s="310"/>
      <c r="I516" s="310"/>
      <c r="K516" s="406"/>
      <c r="L516" s="406"/>
      <c r="M516" s="406"/>
      <c r="N516" s="406"/>
    </row>
    <row r="517" spans="1:14" ht="15" customHeight="1">
      <c r="A517" s="310"/>
      <c r="B517" s="310"/>
      <c r="C517" s="310"/>
      <c r="D517" s="310"/>
      <c r="E517" s="310"/>
      <c r="F517" s="310"/>
      <c r="G517" s="310"/>
      <c r="H517" s="310"/>
      <c r="I517" s="310"/>
      <c r="K517" s="406"/>
      <c r="L517" s="406"/>
      <c r="M517" s="406"/>
      <c r="N517" s="406"/>
    </row>
    <row r="518" spans="1:14" ht="15" customHeight="1">
      <c r="A518" s="310"/>
      <c r="B518" s="310"/>
      <c r="C518" s="310"/>
      <c r="D518" s="310"/>
      <c r="E518" s="310"/>
      <c r="F518" s="310"/>
      <c r="G518" s="310"/>
      <c r="H518" s="310"/>
      <c r="I518" s="310"/>
      <c r="K518" s="406"/>
      <c r="L518" s="406"/>
      <c r="M518" s="406"/>
      <c r="N518" s="406"/>
    </row>
    <row r="519" spans="1:14" ht="15" customHeight="1">
      <c r="A519" s="310"/>
      <c r="B519" s="310"/>
      <c r="C519" s="310"/>
      <c r="D519" s="310"/>
      <c r="E519" s="310"/>
      <c r="F519" s="310"/>
      <c r="G519" s="310"/>
      <c r="H519" s="310"/>
      <c r="I519" s="310"/>
      <c r="K519" s="406"/>
      <c r="L519" s="406"/>
      <c r="M519" s="406"/>
      <c r="N519" s="406"/>
    </row>
    <row r="520" spans="1:14" ht="15" customHeight="1">
      <c r="A520" s="310"/>
      <c r="B520" s="310"/>
      <c r="C520" s="310"/>
      <c r="D520" s="310"/>
      <c r="E520" s="310"/>
      <c r="F520" s="310"/>
      <c r="G520" s="310"/>
      <c r="H520" s="310"/>
      <c r="I520" s="310"/>
      <c r="K520" s="406"/>
      <c r="L520" s="406"/>
      <c r="M520" s="406"/>
      <c r="N520" s="406"/>
    </row>
    <row r="521" spans="1:14" ht="15" customHeight="1">
      <c r="A521" s="310"/>
      <c r="B521" s="310"/>
      <c r="C521" s="310"/>
      <c r="D521" s="310"/>
      <c r="E521" s="310"/>
      <c r="F521" s="310"/>
      <c r="G521" s="310"/>
      <c r="H521" s="310"/>
      <c r="I521" s="310"/>
      <c r="K521" s="406"/>
      <c r="L521" s="406"/>
      <c r="M521" s="406"/>
      <c r="N521" s="406"/>
    </row>
    <row r="522" spans="1:14" ht="15" customHeight="1">
      <c r="A522" s="310"/>
      <c r="B522" s="310"/>
      <c r="C522" s="310"/>
      <c r="D522" s="310"/>
      <c r="E522" s="310"/>
      <c r="F522" s="310"/>
      <c r="G522" s="310"/>
      <c r="H522" s="310"/>
      <c r="I522" s="310"/>
      <c r="K522" s="406"/>
      <c r="L522" s="406"/>
      <c r="M522" s="406"/>
      <c r="N522" s="406"/>
    </row>
    <row r="523" spans="1:14" ht="15" customHeight="1">
      <c r="A523" s="310"/>
      <c r="B523" s="310"/>
      <c r="C523" s="310"/>
      <c r="D523" s="310"/>
      <c r="E523" s="310"/>
      <c r="F523" s="310"/>
      <c r="G523" s="310"/>
      <c r="H523" s="310"/>
      <c r="I523" s="310"/>
      <c r="K523" s="406"/>
      <c r="L523" s="406"/>
      <c r="M523" s="406"/>
      <c r="N523" s="406"/>
    </row>
    <row r="524" spans="1:14" ht="15" customHeight="1">
      <c r="A524" s="310"/>
      <c r="B524" s="310"/>
      <c r="C524" s="310"/>
      <c r="D524" s="310"/>
      <c r="E524" s="310"/>
      <c r="F524" s="310"/>
      <c r="G524" s="310"/>
      <c r="H524" s="310"/>
      <c r="I524" s="310"/>
      <c r="K524" s="406"/>
      <c r="L524" s="406"/>
      <c r="M524" s="406"/>
      <c r="N524" s="406"/>
    </row>
    <row r="525" spans="1:14" ht="15" customHeight="1">
      <c r="A525" s="310"/>
      <c r="B525" s="310"/>
      <c r="C525" s="310"/>
      <c r="D525" s="310"/>
      <c r="E525" s="310"/>
      <c r="F525" s="310"/>
      <c r="G525" s="310"/>
      <c r="H525" s="310"/>
      <c r="I525" s="310"/>
      <c r="K525" s="406"/>
      <c r="L525" s="406"/>
      <c r="M525" s="406"/>
      <c r="N525" s="406"/>
    </row>
    <row r="526" spans="1:14" ht="15" customHeight="1">
      <c r="A526" s="310"/>
      <c r="B526" s="310"/>
      <c r="C526" s="310"/>
      <c r="D526" s="310"/>
      <c r="E526" s="310"/>
      <c r="F526" s="310"/>
      <c r="G526" s="310"/>
      <c r="H526" s="310"/>
      <c r="I526" s="310"/>
      <c r="K526" s="406"/>
      <c r="L526" s="406"/>
      <c r="M526" s="406"/>
      <c r="N526" s="406"/>
    </row>
    <row r="527" spans="1:14" ht="15" customHeight="1">
      <c r="A527" s="310"/>
      <c r="B527" s="310"/>
      <c r="C527" s="310"/>
      <c r="D527" s="310"/>
      <c r="E527" s="310"/>
      <c r="F527" s="310"/>
      <c r="G527" s="310"/>
      <c r="H527" s="310"/>
      <c r="I527" s="310"/>
      <c r="K527" s="406"/>
      <c r="L527" s="406"/>
      <c r="M527" s="406"/>
      <c r="N527" s="406"/>
    </row>
    <row r="528" spans="1:14" ht="15" customHeight="1">
      <c r="A528" s="310"/>
      <c r="B528" s="310"/>
      <c r="C528" s="310"/>
      <c r="D528" s="310"/>
      <c r="E528" s="310"/>
      <c r="F528" s="310"/>
      <c r="G528" s="310"/>
      <c r="H528" s="310"/>
      <c r="I528" s="310"/>
      <c r="K528" s="406"/>
      <c r="L528" s="406"/>
      <c r="M528" s="406"/>
      <c r="N528" s="406"/>
    </row>
    <row r="529" spans="1:14" ht="15" customHeight="1">
      <c r="A529" s="310"/>
      <c r="B529" s="310"/>
      <c r="C529" s="310"/>
      <c r="D529" s="310"/>
      <c r="E529" s="310"/>
      <c r="F529" s="310"/>
      <c r="G529" s="310"/>
      <c r="H529" s="310"/>
      <c r="I529" s="310"/>
      <c r="K529" s="406"/>
      <c r="L529" s="406"/>
      <c r="M529" s="406"/>
      <c r="N529" s="406"/>
    </row>
    <row r="530" spans="1:14" ht="15" customHeight="1">
      <c r="A530" s="310"/>
      <c r="B530" s="310"/>
      <c r="C530" s="310"/>
      <c r="D530" s="310"/>
      <c r="E530" s="310"/>
      <c r="F530" s="310"/>
      <c r="G530" s="310"/>
      <c r="H530" s="310"/>
      <c r="I530" s="310"/>
      <c r="K530" s="406"/>
      <c r="L530" s="406"/>
      <c r="M530" s="406"/>
      <c r="N530" s="406"/>
    </row>
    <row r="531" spans="1:14" ht="15" customHeight="1">
      <c r="A531" s="310"/>
      <c r="B531" s="310"/>
      <c r="C531" s="310"/>
      <c r="D531" s="310"/>
      <c r="E531" s="310"/>
      <c r="F531" s="310"/>
      <c r="G531" s="310"/>
      <c r="H531" s="310"/>
      <c r="I531" s="310"/>
      <c r="K531" s="406"/>
      <c r="L531" s="406"/>
      <c r="M531" s="406"/>
      <c r="N531" s="406"/>
    </row>
    <row r="532" spans="1:14" ht="15" customHeight="1">
      <c r="A532" s="310"/>
      <c r="B532" s="310"/>
      <c r="C532" s="310"/>
      <c r="D532" s="310"/>
      <c r="E532" s="310"/>
      <c r="F532" s="310"/>
      <c r="G532" s="310"/>
      <c r="H532" s="310"/>
      <c r="I532" s="310"/>
      <c r="K532" s="406"/>
      <c r="L532" s="406"/>
      <c r="M532" s="406"/>
      <c r="N532" s="406"/>
    </row>
    <row r="533" spans="1:14" ht="15" customHeight="1">
      <c r="A533" s="310"/>
      <c r="B533" s="310"/>
      <c r="C533" s="310"/>
      <c r="D533" s="310"/>
      <c r="E533" s="310"/>
      <c r="F533" s="310"/>
      <c r="G533" s="310"/>
      <c r="H533" s="310"/>
      <c r="I533" s="310"/>
      <c r="K533" s="406"/>
      <c r="L533" s="406"/>
      <c r="M533" s="406"/>
      <c r="N533" s="406"/>
    </row>
    <row r="534" spans="1:9" ht="15" customHeight="1">
      <c r="A534" s="310"/>
      <c r="B534" s="310"/>
      <c r="C534" s="310"/>
      <c r="D534" s="310"/>
      <c r="E534" s="310"/>
      <c r="F534" s="310"/>
      <c r="G534" s="310"/>
      <c r="H534" s="310"/>
      <c r="I534" s="310"/>
    </row>
    <row r="535" spans="1:9" ht="15" customHeight="1">
      <c r="A535" s="310"/>
      <c r="B535" s="310"/>
      <c r="C535" s="310"/>
      <c r="D535" s="310"/>
      <c r="E535" s="310"/>
      <c r="F535" s="310"/>
      <c r="G535" s="310"/>
      <c r="H535" s="310"/>
      <c r="I535" s="310"/>
    </row>
    <row r="536" spans="1:9" ht="15" customHeight="1">
      <c r="A536" s="310"/>
      <c r="B536" s="310"/>
      <c r="C536" s="310"/>
      <c r="D536" s="310"/>
      <c r="E536" s="310"/>
      <c r="F536" s="310"/>
      <c r="G536" s="310"/>
      <c r="H536" s="310"/>
      <c r="I536" s="310"/>
    </row>
    <row r="537" spans="1:9" ht="15" customHeight="1">
      <c r="A537" s="310"/>
      <c r="B537" s="310"/>
      <c r="C537" s="310"/>
      <c r="D537" s="310"/>
      <c r="E537" s="310"/>
      <c r="F537" s="310"/>
      <c r="G537" s="310"/>
      <c r="H537" s="310"/>
      <c r="I537" s="310"/>
    </row>
    <row r="538" spans="1:9" ht="15" customHeight="1">
      <c r="A538" s="310"/>
      <c r="B538" s="310"/>
      <c r="C538" s="310"/>
      <c r="D538" s="310"/>
      <c r="E538" s="310"/>
      <c r="F538" s="310"/>
      <c r="G538" s="310"/>
      <c r="H538" s="310"/>
      <c r="I538" s="310"/>
    </row>
    <row r="539" spans="1:9" ht="15" customHeight="1">
      <c r="A539" s="310"/>
      <c r="B539" s="310"/>
      <c r="C539" s="310"/>
      <c r="D539" s="310"/>
      <c r="E539" s="310"/>
      <c r="F539" s="310"/>
      <c r="G539" s="310"/>
      <c r="H539" s="310"/>
      <c r="I539" s="310"/>
    </row>
    <row r="540" spans="1:9" ht="15" customHeight="1">
      <c r="A540" s="310"/>
      <c r="B540" s="310"/>
      <c r="C540" s="310"/>
      <c r="D540" s="310"/>
      <c r="E540" s="310"/>
      <c r="F540" s="310"/>
      <c r="G540" s="310"/>
      <c r="H540" s="310"/>
      <c r="I540" s="310"/>
    </row>
    <row r="541" spans="1:9" ht="15" customHeight="1">
      <c r="A541" s="310"/>
      <c r="B541" s="310"/>
      <c r="C541" s="310"/>
      <c r="D541" s="310"/>
      <c r="E541" s="310"/>
      <c r="F541" s="310"/>
      <c r="G541" s="310"/>
      <c r="H541" s="310"/>
      <c r="I541" s="310"/>
    </row>
    <row r="542" spans="1:9" ht="15" customHeight="1">
      <c r="A542" s="310"/>
      <c r="B542" s="310"/>
      <c r="C542" s="310"/>
      <c r="D542" s="310"/>
      <c r="E542" s="310"/>
      <c r="F542" s="310"/>
      <c r="G542" s="310"/>
      <c r="H542" s="310"/>
      <c r="I542" s="310"/>
    </row>
    <row r="543" spans="1:9" ht="15" customHeight="1">
      <c r="A543" s="310"/>
      <c r="B543" s="310"/>
      <c r="C543" s="310"/>
      <c r="D543" s="310"/>
      <c r="E543" s="310"/>
      <c r="F543" s="310"/>
      <c r="G543" s="310"/>
      <c r="H543" s="310"/>
      <c r="I543" s="310"/>
    </row>
    <row r="544" spans="1:9" ht="15" customHeight="1">
      <c r="A544" s="310"/>
      <c r="B544" s="310"/>
      <c r="C544" s="310"/>
      <c r="D544" s="310"/>
      <c r="E544" s="310"/>
      <c r="F544" s="310"/>
      <c r="G544" s="310"/>
      <c r="H544" s="310"/>
      <c r="I544" s="310"/>
    </row>
    <row r="545" s="310" customFormat="1" ht="15" customHeight="1"/>
    <row r="546" s="310" customFormat="1" ht="15" customHeight="1"/>
    <row r="547" s="310" customFormat="1" ht="14.25"/>
    <row r="548" s="310" customFormat="1" ht="14.25"/>
    <row r="549" s="310" customFormat="1" ht="14.25"/>
    <row r="550" s="310" customFormat="1" ht="14.25"/>
    <row r="551" s="310" customFormat="1" ht="14.25"/>
    <row r="552" s="310" customFormat="1" ht="14.25"/>
    <row r="553" s="310" customFormat="1" ht="14.25"/>
    <row r="554" s="310" customFormat="1" ht="14.25"/>
    <row r="555" s="310" customFormat="1" ht="14.25"/>
    <row r="556" s="310" customFormat="1" ht="14.25"/>
    <row r="557" s="310" customFormat="1" ht="14.25"/>
    <row r="558" s="310" customFormat="1" ht="14.25"/>
    <row r="559" s="310" customFormat="1" ht="14.25"/>
    <row r="560" s="310" customFormat="1" ht="14.25"/>
    <row r="561" s="310" customFormat="1" ht="14.25"/>
    <row r="562" s="310" customFormat="1" ht="14.25"/>
    <row r="563" s="310" customFormat="1" ht="14.25"/>
    <row r="564" s="310" customFormat="1" ht="14.25"/>
    <row r="565" s="310" customFormat="1" ht="14.25"/>
    <row r="566" s="310" customFormat="1" ht="14.25"/>
    <row r="567" s="310" customFormat="1" ht="14.25"/>
    <row r="568" s="310" customFormat="1" ht="14.25"/>
    <row r="569" s="310" customFormat="1" ht="14.25"/>
    <row r="570" s="310" customFormat="1" ht="14.25"/>
    <row r="571" s="310" customFormat="1" ht="14.25"/>
    <row r="572" s="310" customFormat="1" ht="14.25"/>
    <row r="573" s="310" customFormat="1" ht="14.25"/>
    <row r="574" s="310" customFormat="1" ht="14.25"/>
    <row r="575" s="310" customFormat="1" ht="14.25"/>
    <row r="576" s="310" customFormat="1" ht="14.25"/>
    <row r="577" s="310" customFormat="1" ht="14.25"/>
    <row r="578" s="310" customFormat="1" ht="14.25"/>
    <row r="579" s="310" customFormat="1" ht="14.25"/>
    <row r="580" s="310" customFormat="1" ht="14.25"/>
    <row r="581" s="310" customFormat="1" ht="14.25"/>
    <row r="582" s="310" customFormat="1" ht="14.25"/>
    <row r="583" s="310" customFormat="1" ht="14.25"/>
    <row r="584" s="310" customFormat="1" ht="14.25"/>
    <row r="585" s="310" customFormat="1" ht="14.25"/>
    <row r="586" s="310" customFormat="1" ht="14.25"/>
    <row r="587" s="310" customFormat="1" ht="14.25"/>
    <row r="588" s="310" customFormat="1" ht="14.25"/>
    <row r="589" s="310" customFormat="1" ht="14.25"/>
    <row r="590" s="310" customFormat="1" ht="14.25"/>
    <row r="591" s="310" customFormat="1" ht="14.25"/>
    <row r="592" s="310" customFormat="1" ht="14.25"/>
    <row r="593" s="310" customFormat="1" ht="14.25"/>
    <row r="594" s="310" customFormat="1" ht="14.25"/>
    <row r="595" s="310" customFormat="1" ht="14.25"/>
    <row r="596" s="310" customFormat="1" ht="14.25"/>
    <row r="597" s="310" customFormat="1" ht="14.25"/>
    <row r="598" s="310" customFormat="1" ht="14.25"/>
    <row r="599" s="310" customFormat="1" ht="14.25"/>
    <row r="600" s="310" customFormat="1" ht="14.25"/>
    <row r="601" s="310" customFormat="1" ht="14.25"/>
    <row r="602" s="310" customFormat="1" ht="14.25"/>
    <row r="603" s="310" customFormat="1" ht="14.25"/>
    <row r="604" s="310" customFormat="1" ht="14.25"/>
    <row r="605" s="310" customFormat="1" ht="14.25"/>
    <row r="606" s="310" customFormat="1" ht="14.25"/>
    <row r="607" s="310" customFormat="1" ht="14.25"/>
    <row r="608" s="310" customFormat="1" ht="14.25"/>
    <row r="609" s="310" customFormat="1" ht="14.25"/>
    <row r="610" s="310" customFormat="1" ht="14.25"/>
    <row r="611" s="310" customFormat="1" ht="14.25"/>
    <row r="612" s="310" customFormat="1" ht="14.25"/>
    <row r="613" s="310" customFormat="1" ht="14.25"/>
    <row r="614" s="310" customFormat="1" ht="14.25"/>
    <row r="615" s="310" customFormat="1" ht="14.25"/>
    <row r="616" s="310" customFormat="1" ht="14.25"/>
    <row r="617" s="310" customFormat="1" ht="14.25"/>
    <row r="618" s="310" customFormat="1" ht="14.25"/>
    <row r="619" s="310" customFormat="1" ht="14.25"/>
    <row r="620" s="310" customFormat="1" ht="14.25"/>
    <row r="621" s="310" customFormat="1" ht="14.25"/>
    <row r="622" s="310" customFormat="1" ht="14.25"/>
    <row r="623" s="310" customFormat="1" ht="14.25"/>
    <row r="624" s="310" customFormat="1" ht="14.25"/>
    <row r="625" s="310" customFormat="1" ht="14.25"/>
    <row r="626" s="310" customFormat="1" ht="14.25"/>
    <row r="627" s="310" customFormat="1" ht="14.25"/>
    <row r="628" s="310" customFormat="1" ht="14.25"/>
    <row r="629" s="310" customFormat="1" ht="14.25"/>
    <row r="630" s="310" customFormat="1" ht="14.25"/>
    <row r="631" s="310" customFormat="1" ht="14.25"/>
    <row r="632" s="310" customFormat="1" ht="14.25"/>
    <row r="633" s="310" customFormat="1" ht="14.25"/>
    <row r="634" s="310" customFormat="1" ht="14.25"/>
    <row r="635" s="310" customFormat="1" ht="14.25"/>
    <row r="636" s="310" customFormat="1" ht="14.25"/>
    <row r="637" s="310" customFormat="1" ht="14.25"/>
    <row r="638" s="310" customFormat="1" ht="14.25"/>
    <row r="639" s="310" customFormat="1" ht="14.25"/>
    <row r="640" s="310" customFormat="1" ht="14.25"/>
    <row r="641" s="310" customFormat="1" ht="14.25"/>
    <row r="642" s="310" customFormat="1" ht="14.25"/>
    <row r="643" s="310" customFormat="1" ht="14.25"/>
    <row r="644" s="310" customFormat="1" ht="14.25"/>
    <row r="645" s="310" customFormat="1" ht="14.25"/>
    <row r="646" s="310" customFormat="1" ht="14.25"/>
    <row r="647" s="310" customFormat="1" ht="14.25"/>
    <row r="648" s="310" customFormat="1" ht="14.25"/>
    <row r="649" s="310" customFormat="1" ht="14.25"/>
    <row r="650" s="310" customFormat="1" ht="14.25"/>
    <row r="651" s="310" customFormat="1" ht="14.25"/>
    <row r="652" s="310" customFormat="1" ht="14.25"/>
    <row r="653" s="310" customFormat="1" ht="14.25"/>
    <row r="654" s="310" customFormat="1" ht="14.25"/>
    <row r="655" s="310" customFormat="1" ht="14.25"/>
    <row r="656" s="310" customFormat="1" ht="14.25"/>
    <row r="657" s="310" customFormat="1" ht="14.25"/>
    <row r="658" s="310" customFormat="1" ht="14.25"/>
    <row r="659" s="310" customFormat="1" ht="14.25"/>
    <row r="660" s="310" customFormat="1" ht="14.25"/>
    <row r="661" s="310" customFormat="1" ht="14.25"/>
    <row r="662" s="310" customFormat="1" ht="14.25"/>
    <row r="663" s="310" customFormat="1" ht="14.25"/>
    <row r="664" s="310" customFormat="1" ht="14.25"/>
    <row r="665" s="310" customFormat="1" ht="14.25"/>
    <row r="666" s="310" customFormat="1" ht="14.25"/>
    <row r="667" s="310" customFormat="1" ht="14.25"/>
    <row r="668" s="310" customFormat="1" ht="14.25"/>
    <row r="669" s="310" customFormat="1" ht="14.25"/>
    <row r="670" s="310" customFormat="1" ht="14.25"/>
    <row r="671" s="310" customFormat="1" ht="14.25"/>
    <row r="672" s="310" customFormat="1" ht="14.25"/>
    <row r="673" s="310" customFormat="1" ht="14.25"/>
    <row r="674" s="310" customFormat="1" ht="14.25"/>
    <row r="675" s="310" customFormat="1" ht="14.25"/>
    <row r="676" s="310" customFormat="1" ht="14.25"/>
    <row r="677" s="310" customFormat="1" ht="14.25"/>
    <row r="678" s="310" customFormat="1" ht="14.25"/>
    <row r="679" s="310" customFormat="1" ht="14.25"/>
    <row r="680" s="310" customFormat="1" ht="14.25"/>
    <row r="681" s="310" customFormat="1" ht="14.25"/>
    <row r="682" s="310" customFormat="1" ht="14.25"/>
    <row r="683" s="310" customFormat="1" ht="14.25"/>
    <row r="684" s="310" customFormat="1" ht="14.25"/>
    <row r="685" s="310" customFormat="1" ht="14.25"/>
    <row r="686" s="310" customFormat="1" ht="14.25"/>
    <row r="687" s="310" customFormat="1" ht="14.25"/>
    <row r="688" s="310" customFormat="1" ht="14.25"/>
    <row r="689" spans="1:9" ht="14.25">
      <c r="A689" s="310"/>
      <c r="B689" s="310"/>
      <c r="C689" s="310"/>
      <c r="D689" s="310"/>
      <c r="E689" s="310"/>
      <c r="F689" s="310"/>
      <c r="G689" s="310"/>
      <c r="H689" s="310"/>
      <c r="I689" s="310"/>
    </row>
    <row r="690" spans="1:9" ht="14.25">
      <c r="A690" s="310"/>
      <c r="B690" s="310"/>
      <c r="C690" s="310"/>
      <c r="D690" s="310"/>
      <c r="E690" s="310"/>
      <c r="F690" s="310"/>
      <c r="G690" s="310"/>
      <c r="H690" s="310"/>
      <c r="I690" s="310"/>
    </row>
    <row r="691" spans="1:9" ht="14.25">
      <c r="A691" s="310"/>
      <c r="B691" s="310"/>
      <c r="C691" s="310"/>
      <c r="D691" s="310"/>
      <c r="E691" s="310"/>
      <c r="F691" s="310"/>
      <c r="G691" s="310"/>
      <c r="H691" s="310"/>
      <c r="I691" s="310"/>
    </row>
    <row r="692" spans="1:9" ht="14.25">
      <c r="A692" s="310"/>
      <c r="B692" s="310"/>
      <c r="C692" s="310"/>
      <c r="D692" s="310"/>
      <c r="E692" s="310"/>
      <c r="F692" s="310"/>
      <c r="G692" s="310"/>
      <c r="H692" s="310"/>
      <c r="I692" s="310"/>
    </row>
    <row r="693" spans="1:9" ht="14.25">
      <c r="A693" s="310"/>
      <c r="B693" s="310"/>
      <c r="C693" s="310"/>
      <c r="D693" s="310"/>
      <c r="E693" s="310"/>
      <c r="F693" s="310"/>
      <c r="G693" s="310"/>
      <c r="H693" s="310"/>
      <c r="I693" s="310"/>
    </row>
    <row r="694" spans="1:9" ht="14.25">
      <c r="A694" s="310"/>
      <c r="B694" s="310"/>
      <c r="C694" s="310"/>
      <c r="D694" s="310"/>
      <c r="E694" s="310"/>
      <c r="F694" s="310"/>
      <c r="G694" s="310"/>
      <c r="H694" s="310"/>
      <c r="I694" s="310"/>
    </row>
    <row r="695" spans="1:9" ht="14.25">
      <c r="A695" s="310"/>
      <c r="B695" s="310"/>
      <c r="C695" s="310"/>
      <c r="D695" s="310"/>
      <c r="E695" s="310"/>
      <c r="F695" s="310"/>
      <c r="G695" s="310"/>
      <c r="H695" s="310"/>
      <c r="I695" s="310"/>
    </row>
    <row r="696" spans="1:9" ht="14.25">
      <c r="A696" s="310"/>
      <c r="B696" s="310"/>
      <c r="C696" s="310"/>
      <c r="D696" s="310"/>
      <c r="E696" s="310"/>
      <c r="F696" s="310"/>
      <c r="G696" s="310"/>
      <c r="H696" s="310"/>
      <c r="I696" s="310"/>
    </row>
    <row r="697" spans="1:9" ht="14.25">
      <c r="A697" s="310"/>
      <c r="B697" s="310"/>
      <c r="C697" s="310"/>
      <c r="D697" s="310"/>
      <c r="E697" s="310"/>
      <c r="F697" s="310"/>
      <c r="G697" s="310"/>
      <c r="H697" s="310"/>
      <c r="I697" s="310"/>
    </row>
    <row r="698" spans="1:9" ht="14.25">
      <c r="A698" s="310"/>
      <c r="B698" s="310"/>
      <c r="C698" s="310"/>
      <c r="D698" s="310"/>
      <c r="E698" s="310"/>
      <c r="F698" s="310"/>
      <c r="G698" s="310"/>
      <c r="H698" s="310"/>
      <c r="I698" s="310"/>
    </row>
    <row r="699" spans="1:9" ht="14.25">
      <c r="A699" s="310"/>
      <c r="B699" s="310"/>
      <c r="C699" s="310"/>
      <c r="D699" s="310"/>
      <c r="E699" s="310"/>
      <c r="F699" s="310"/>
      <c r="G699" s="310"/>
      <c r="H699" s="310"/>
      <c r="I699" s="310"/>
    </row>
    <row r="700" spans="1:9" ht="14.25">
      <c r="A700" s="310"/>
      <c r="B700" s="310"/>
      <c r="C700" s="310"/>
      <c r="D700" s="310"/>
      <c r="E700" s="310"/>
      <c r="F700" s="310"/>
      <c r="G700" s="310"/>
      <c r="H700" s="310"/>
      <c r="I700" s="310"/>
    </row>
    <row r="701" spans="2:9" ht="14.25">
      <c r="B701" s="310"/>
      <c r="C701" s="310"/>
      <c r="D701" s="310"/>
      <c r="E701" s="310"/>
      <c r="F701" s="310"/>
      <c r="G701" s="310"/>
      <c r="H701" s="310"/>
      <c r="I701" s="310"/>
    </row>
    <row r="702" spans="7:9" ht="14.25">
      <c r="G702" s="310"/>
      <c r="H702" s="310"/>
      <c r="I702" s="310"/>
    </row>
    <row r="703" spans="7:9" ht="14.25">
      <c r="G703" s="310"/>
      <c r="H703" s="310"/>
      <c r="I703" s="3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1.4.2021 lukien</dc:title>
  <dc:subject/>
  <dc:creator>Kunnallinen työmarkkinalaitos</dc:creator>
  <cp:keywords/>
  <dc:description/>
  <cp:lastModifiedBy>Paakkonen Niina</cp:lastModifiedBy>
  <cp:lastPrinted>2008-05-12T08:11:22Z</cp:lastPrinted>
  <dcterms:created xsi:type="dcterms:W3CDTF">2000-02-01T07:49:18Z</dcterms:created>
  <dcterms:modified xsi:type="dcterms:W3CDTF">2023-05-31T10:27:05Z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